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tabRatio="651" activeTab="1"/>
  </bookViews>
  <sheets>
    <sheet name="DailyOps" sheetId="1" r:id="rId1"/>
    <sheet name="State1" sheetId="2" r:id="rId2"/>
    <sheet name="Aeration" sheetId="3" r:id="rId3"/>
    <sheet name="Stream Data" sheetId="4" r:id="rId4"/>
    <sheet name="DMR" sheetId="5" r:id="rId5"/>
    <sheet name="DMRVIO" sheetId="6" r:id="rId6"/>
    <sheet name="Graphs" sheetId="7" r:id="rId7"/>
    <sheet name="Sludge Disp." sheetId="8" r:id="rId8"/>
    <sheet name="Overflows" sheetId="9" r:id="rId9"/>
    <sheet name="printlab" sheetId="10" r:id="rId10"/>
  </sheets>
  <definedNames>
    <definedName name="Data">#REF!</definedName>
    <definedName name="Data1">#REF!</definedName>
    <definedName name="Day1">#REF!</definedName>
    <definedName name="gomenu">'State1'!$A$52</definedName>
    <definedName name="page1">'State1'!$A$1:$AD$47</definedName>
    <definedName name="_xlnm.Print_Area" localSheetId="2">'Aeration'!$A$1:$Z$41</definedName>
    <definedName name="_xlnm.Print_Area" localSheetId="4">'DMR'!$A$1:$M$153</definedName>
    <definedName name="_xlnm.Print_Area" localSheetId="7">'Sludge Disp.'!$A$1:$L$37</definedName>
    <definedName name="_xlnm.Print_Area" localSheetId="1">'State1'!$A$1:$AD$45</definedName>
    <definedName name="_xlnm.Print_Area" localSheetId="3">'Stream Data'!$A$1:$Q$42</definedName>
    <definedName name="_xlnm.Print_Titles" localSheetId="9">'printlab'!$1:$1</definedName>
    <definedName name="printpage">'Aeration'!$A$1:$AU$47</definedName>
  </definedNames>
  <calcPr fullCalcOnLoad="1"/>
</workbook>
</file>

<file path=xl/sharedStrings.xml><?xml version="1.0" encoding="utf-8"?>
<sst xmlns="http://schemas.openxmlformats.org/spreadsheetml/2006/main" count="1389" uniqueCount="532">
  <si>
    <t xml:space="preserve">   5 DAY B.O.D.</t>
  </si>
  <si>
    <t>SUSPENDED SOLIDS</t>
  </si>
  <si>
    <t>SETTLED SOLIDS</t>
  </si>
  <si>
    <t>D</t>
  </si>
  <si>
    <t>DAILY</t>
  </si>
  <si>
    <t>RAW</t>
  </si>
  <si>
    <t>LBS</t>
  </si>
  <si>
    <t>T</t>
  </si>
  <si>
    <t>FINAL</t>
  </si>
  <si>
    <t>A</t>
  </si>
  <si>
    <t>RAIN</t>
  </si>
  <si>
    <t>FLOW</t>
  </si>
  <si>
    <t>WASTE</t>
  </si>
  <si>
    <t>PLANT</t>
  </si>
  <si>
    <t>CL-2</t>
  </si>
  <si>
    <t>COLI</t>
  </si>
  <si>
    <t>SLUDGE</t>
  </si>
  <si>
    <t>E</t>
  </si>
  <si>
    <t>TOT</t>
  </si>
  <si>
    <t>EFF.</t>
  </si>
  <si>
    <t>EFF</t>
  </si>
  <si>
    <t>FALL</t>
  </si>
  <si>
    <t>TEMP.</t>
  </si>
  <si>
    <t>INF.</t>
  </si>
  <si>
    <t>RES.</t>
  </si>
  <si>
    <t>SOLIDS</t>
  </si>
  <si>
    <t>VOLUME</t>
  </si>
  <si>
    <t>F/M</t>
  </si>
  <si>
    <t>TEMP</t>
  </si>
  <si>
    <t>(CEL)</t>
  </si>
  <si>
    <t>MG/L</t>
  </si>
  <si>
    <t>#/100 ML</t>
  </si>
  <si>
    <t>USED</t>
  </si>
  <si>
    <t>ML/L</t>
  </si>
  <si>
    <t>INDEX</t>
  </si>
  <si>
    <t>RATIO</t>
  </si>
  <si>
    <t>CEL</t>
  </si>
  <si>
    <t>AVG.</t>
  </si>
  <si>
    <t>MAX.</t>
  </si>
  <si>
    <t>MIN.</t>
  </si>
  <si>
    <t>AMMONIA NITROGEN</t>
  </si>
  <si>
    <t>MLSS</t>
  </si>
  <si>
    <t>SETTABLE</t>
  </si>
  <si>
    <t>TOTAL</t>
  </si>
  <si>
    <t>pH</t>
  </si>
  <si>
    <t>RATE</t>
  </si>
  <si>
    <t>DAY</t>
  </si>
  <si>
    <t xml:space="preserve">   BOD-5</t>
  </si>
  <si>
    <t xml:space="preserve">   TEMP</t>
  </si>
  <si>
    <t>ABOVE</t>
  </si>
  <si>
    <t>BELOW</t>
  </si>
  <si>
    <t>SETTABLE SOLIDS</t>
  </si>
  <si>
    <t>DISSOLVED OXYGEN</t>
  </si>
  <si>
    <t>pH UNITS</t>
  </si>
  <si>
    <t>INCHES</t>
  </si>
  <si>
    <t>LBS CALCULATIONS</t>
  </si>
  <si>
    <t>MGD FLOWS</t>
  </si>
  <si>
    <t>INF</t>
  </si>
  <si>
    <t>MGD</t>
  </si>
  <si>
    <t>AERATION LBS</t>
  </si>
  <si>
    <t>Plant Effeciencies</t>
  </si>
  <si>
    <t>% Removal</t>
  </si>
  <si>
    <t>NATIONAL POLLUTANT DISCHARGE ELIMINATION SYSTEM (NPDES)</t>
  </si>
  <si>
    <t>Facility Name/Location if different)</t>
  </si>
  <si>
    <t>Name</t>
  </si>
  <si>
    <t>Form Approved</t>
  </si>
  <si>
    <t>Address</t>
  </si>
  <si>
    <t>001 G</t>
  </si>
  <si>
    <t>(SUBR  03)</t>
  </si>
  <si>
    <t>OMB</t>
  </si>
  <si>
    <t>No.</t>
  </si>
  <si>
    <t>2040-004</t>
  </si>
  <si>
    <t xml:space="preserve">                  PERMIT NUMBER</t>
  </si>
  <si>
    <t>DISCHARGE NUMBER</t>
  </si>
  <si>
    <t>F - Final</t>
  </si>
  <si>
    <t>Facility</t>
  </si>
  <si>
    <t xml:space="preserve">       MONITORING PERIOD</t>
  </si>
  <si>
    <t>Location</t>
  </si>
  <si>
    <t>FROM         YEAR      MO</t>
  </si>
  <si>
    <t xml:space="preserve">   DAY</t>
  </si>
  <si>
    <t xml:space="preserve">  TO       YEAR      MO</t>
  </si>
  <si>
    <t xml:space="preserve">  DAY</t>
  </si>
  <si>
    <t>*** No Discharge</t>
  </si>
  <si>
    <t>***</t>
  </si>
  <si>
    <t xml:space="preserve">                 (20-21) (22-23)</t>
  </si>
  <si>
    <t xml:space="preserve">                 (26-27) (28-29)</t>
  </si>
  <si>
    <t>(30-31)</t>
  </si>
  <si>
    <t>Note:  Read Instructions Before Completing this form.</t>
  </si>
  <si>
    <t>QUALITY OR CONCENTRATION</t>
  </si>
  <si>
    <t>NO.</t>
  </si>
  <si>
    <t>FREQUENCY</t>
  </si>
  <si>
    <t>SAMPLE</t>
  </si>
  <si>
    <t xml:space="preserve">                PARAMETER</t>
  </si>
  <si>
    <t>EX</t>
  </si>
  <si>
    <t>OF ANALYSIS</t>
  </si>
  <si>
    <t>TYPE</t>
  </si>
  <si>
    <t>(32-37)</t>
  </si>
  <si>
    <t>AVERAGE</t>
  </si>
  <si>
    <t>MAXIMUM</t>
  </si>
  <si>
    <t>UNITS</t>
  </si>
  <si>
    <t>MINIMUM</t>
  </si>
  <si>
    <t>Oxygen, Dissolved (DO)</t>
  </si>
  <si>
    <t>*****</t>
  </si>
  <si>
    <t>(19)</t>
  </si>
  <si>
    <t>Daily</t>
  </si>
  <si>
    <t>Grab</t>
  </si>
  <si>
    <t>00300</t>
  </si>
  <si>
    <t>1  0  0</t>
  </si>
  <si>
    <t>MEASUREMENT</t>
  </si>
  <si>
    <t>mg/l</t>
  </si>
  <si>
    <t>Effluent Gross Value</t>
  </si>
  <si>
    <t>PERMIT</t>
  </si>
  <si>
    <t>Weekdays</t>
  </si>
  <si>
    <t>REQUIREMENT</t>
  </si>
  <si>
    <t>Inst Min.</t>
  </si>
  <si>
    <t>(12)</t>
  </si>
  <si>
    <t>00400</t>
  </si>
  <si>
    <t>SU</t>
  </si>
  <si>
    <t>Daily Min.</t>
  </si>
  <si>
    <t>Daily Max.</t>
  </si>
  <si>
    <t>Solids, Total Suspended</t>
  </si>
  <si>
    <t>Composite</t>
  </si>
  <si>
    <t>00530</t>
  </si>
  <si>
    <t>G  0  0</t>
  </si>
  <si>
    <t>Report</t>
  </si>
  <si>
    <t>Mon. Avg.</t>
  </si>
  <si>
    <t>(26)</t>
  </si>
  <si>
    <t>lbs/day</t>
  </si>
  <si>
    <t>Wkly Avg.</t>
  </si>
  <si>
    <t>Mo Avg.</t>
  </si>
  <si>
    <t>Solids, Settleable</t>
  </si>
  <si>
    <t>(25)</t>
  </si>
  <si>
    <t>00545</t>
  </si>
  <si>
    <t>ml/l</t>
  </si>
  <si>
    <t>Nitrogen, Ammonia Total</t>
  </si>
  <si>
    <t>(As N)</t>
  </si>
  <si>
    <t>00610</t>
  </si>
  <si>
    <t>(13)</t>
  </si>
  <si>
    <t>I CERTIFY UNDER PENALTY OF LAW THAT I HAVE PERSONALLY EXAMin.ED AND AM FAMILIAR WITH THE INFORMATION</t>
  </si>
  <si>
    <t xml:space="preserve">                  TELEPHONE</t>
  </si>
  <si>
    <t xml:space="preserve">              DATE</t>
  </si>
  <si>
    <t>SUBMITTED HEREIN; AND BASED ON MY INQUIRY OF THOSE INDIVIDUALS IMMEDIATELY RESPONSIBLE FOR OBTAINING</t>
  </si>
  <si>
    <t xml:space="preserve"> </t>
  </si>
  <si>
    <t>THE INFORMATION.  I BELIEVE THE SUBMITTED INFORMATION IS TRUE.  ACCURATE AND CompositeLETE.  I AM AWARE</t>
  </si>
  <si>
    <t xml:space="preserve">THAT THERE ARE SIGNIFICANT PENALTIES FOR SUBMITTING FALSE INFORMATION.  INCLUDING THE POSSIBILITY </t>
  </si>
  <si>
    <t xml:space="preserve">       SIGNATURE OF PRINCIPAL EXECUTIVE</t>
  </si>
  <si>
    <t>TYPED OR PRINTED</t>
  </si>
  <si>
    <t>INCLUDE FINES UP TO $10,000 AND OR Max.IMUM IMPRISONMENT OF BETWEEN 6 MONTHS AND 5 YEARS)</t>
  </si>
  <si>
    <t xml:space="preserve">           OFFICER OR AUTHORIZED AGENT</t>
  </si>
  <si>
    <t>AREA CODE</t>
  </si>
  <si>
    <t xml:space="preserve">     NUMBER</t>
  </si>
  <si>
    <t>YEAR  MO</t>
  </si>
  <si>
    <t>(REPLACES EPA FORM T-40 WHICH MAY NOT BE USED.)</t>
  </si>
  <si>
    <t>Page</t>
  </si>
  <si>
    <t>Flow, In Conduit or thru Treatment</t>
  </si>
  <si>
    <t>(03)</t>
  </si>
  <si>
    <t>Continuous</t>
  </si>
  <si>
    <t>Plant</t>
  </si>
  <si>
    <t>G 0 0</t>
  </si>
  <si>
    <t>Raw Sew/Influent</t>
  </si>
  <si>
    <t>1 0 0</t>
  </si>
  <si>
    <t>Chlorine, Total</t>
  </si>
  <si>
    <t>Residual</t>
  </si>
  <si>
    <t>Bod, Carbonaceous</t>
  </si>
  <si>
    <t>05 Day, 20C</t>
  </si>
  <si>
    <t>Bypass of Treatment</t>
  </si>
  <si>
    <t>Occurs</t>
  </si>
  <si>
    <t>80998</t>
  </si>
  <si>
    <t>T 0 0</t>
  </si>
  <si>
    <t>(93)</t>
  </si>
  <si>
    <t>See Comments Below</t>
  </si>
  <si>
    <t>Occur/</t>
  </si>
  <si>
    <t>Mon. Total</t>
  </si>
  <si>
    <t>Month</t>
  </si>
  <si>
    <t>Solids, Suspended</t>
  </si>
  <si>
    <t>(23)</t>
  </si>
  <si>
    <t>Calculated</t>
  </si>
  <si>
    <t>Percent Removal</t>
  </si>
  <si>
    <t>Percent</t>
  </si>
  <si>
    <t>81011</t>
  </si>
  <si>
    <t>K 0 0</t>
  </si>
  <si>
    <t>Min. % Rmv</t>
  </si>
  <si>
    <t>Carbonanceous Oxygen Demand</t>
  </si>
  <si>
    <t>Mon. Av. Min.</t>
  </si>
  <si>
    <r>
      <t>PERMITTEE NAME/ADDRESS</t>
    </r>
    <r>
      <rPr>
        <sz val="6"/>
        <rFont val="Arial"/>
        <family val="2"/>
      </rPr>
      <t xml:space="preserve"> (</t>
    </r>
    <r>
      <rPr>
        <i/>
        <sz val="6"/>
        <rFont val="Arial"/>
        <family val="2"/>
      </rPr>
      <t>Include</t>
    </r>
  </si>
  <si>
    <r>
      <t xml:space="preserve">DISCHARGE MONITORING REPORT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DMR</t>
    </r>
    <r>
      <rPr>
        <sz val="8"/>
        <rFont val="Arial"/>
        <family val="2"/>
      </rPr>
      <t>)</t>
    </r>
  </si>
  <si>
    <r>
      <t xml:space="preserve">                             (2-16</t>
    </r>
    <r>
      <rPr>
        <sz val="6"/>
        <rFont val="Arial"/>
        <family val="2"/>
      </rPr>
      <t>)</t>
    </r>
  </si>
  <si>
    <r>
      <t>(17-19</t>
    </r>
    <r>
      <rPr>
        <sz val="6"/>
        <rFont val="Arial"/>
        <family val="2"/>
      </rPr>
      <t>)</t>
    </r>
  </si>
  <si>
    <r>
      <t xml:space="preserve"> (</t>
    </r>
    <r>
      <rPr>
        <i/>
        <sz val="6"/>
        <rFont val="Arial"/>
        <family val="2"/>
      </rPr>
      <t>24-25</t>
    </r>
    <r>
      <rPr>
        <sz val="6"/>
        <rFont val="Arial"/>
        <family val="2"/>
      </rPr>
      <t>)</t>
    </r>
  </si>
  <si>
    <r>
      <t>(</t>
    </r>
    <r>
      <rPr>
        <i/>
        <sz val="6"/>
        <rFont val="Arial"/>
        <family val="2"/>
      </rPr>
      <t>3 Card Only</t>
    </r>
    <r>
      <rPr>
        <sz val="6"/>
        <rFont val="Arial"/>
        <family val="2"/>
      </rPr>
      <t xml:space="preserve">)            </t>
    </r>
    <r>
      <rPr>
        <b/>
        <sz val="6"/>
        <rFont val="Arial"/>
        <family val="2"/>
      </rPr>
      <t>QUANTITY OR LOADING</t>
    </r>
  </si>
  <si>
    <r>
      <t>(</t>
    </r>
    <r>
      <rPr>
        <i/>
        <sz val="6"/>
        <rFont val="Arial"/>
        <family val="2"/>
      </rPr>
      <t>4 Card Only</t>
    </r>
    <r>
      <rPr>
        <sz val="6"/>
        <rFont val="Arial"/>
        <family val="2"/>
      </rPr>
      <t xml:space="preserve">) </t>
    </r>
  </si>
  <si>
    <r>
      <t>(</t>
    </r>
    <r>
      <rPr>
        <i/>
        <sz val="6"/>
        <rFont val="Arial"/>
        <family val="2"/>
      </rPr>
      <t>46-53</t>
    </r>
    <r>
      <rPr>
        <sz val="6"/>
        <rFont val="Arial"/>
        <family val="2"/>
      </rPr>
      <t>)</t>
    </r>
  </si>
  <si>
    <r>
      <t>(</t>
    </r>
    <r>
      <rPr>
        <i/>
        <sz val="6"/>
        <rFont val="Arial"/>
        <family val="2"/>
      </rPr>
      <t>54-61</t>
    </r>
    <r>
      <rPr>
        <sz val="6"/>
        <rFont val="Arial"/>
        <family val="2"/>
      </rPr>
      <t>)</t>
    </r>
  </si>
  <si>
    <r>
      <t>(</t>
    </r>
    <r>
      <rPr>
        <i/>
        <sz val="6"/>
        <rFont val="Arial"/>
        <family val="2"/>
      </rPr>
      <t>38-45</t>
    </r>
    <r>
      <rPr>
        <sz val="6"/>
        <rFont val="Arial"/>
        <family val="2"/>
      </rPr>
      <t>)</t>
    </r>
  </si>
  <si>
    <r>
      <t>(</t>
    </r>
    <r>
      <rPr>
        <i/>
        <sz val="6"/>
        <rFont val="Arial"/>
        <family val="2"/>
      </rPr>
      <t>62-63</t>
    </r>
    <r>
      <rPr>
        <sz val="6"/>
        <rFont val="Arial"/>
        <family val="2"/>
      </rPr>
      <t>)</t>
    </r>
  </si>
  <si>
    <r>
      <t>(</t>
    </r>
    <r>
      <rPr>
        <i/>
        <sz val="6"/>
        <rFont val="Arial"/>
        <family val="2"/>
      </rPr>
      <t>64-68</t>
    </r>
    <r>
      <rPr>
        <sz val="6"/>
        <rFont val="Arial"/>
        <family val="2"/>
      </rPr>
      <t>)</t>
    </r>
  </si>
  <si>
    <r>
      <t>(</t>
    </r>
    <r>
      <rPr>
        <i/>
        <sz val="6"/>
        <rFont val="Arial"/>
        <family val="2"/>
      </rPr>
      <t>69-70</t>
    </r>
    <r>
      <rPr>
        <sz val="6"/>
        <rFont val="Arial"/>
        <family val="2"/>
      </rPr>
      <t>)</t>
    </r>
  </si>
  <si>
    <r>
      <t xml:space="preserve">EPA Form 3320-1 (Rev. 9-88) </t>
    </r>
    <r>
      <rPr>
        <b/>
        <i/>
        <sz val="8"/>
        <rFont val="Arial"/>
        <family val="2"/>
      </rPr>
      <t>Previous editions may be used.</t>
    </r>
  </si>
  <si>
    <t>BOD</t>
  </si>
  <si>
    <t>Total</t>
  </si>
  <si>
    <t>Avg</t>
  </si>
  <si>
    <t>Max</t>
  </si>
  <si>
    <t>Min</t>
  </si>
  <si>
    <t>1 S 0</t>
  </si>
  <si>
    <t>Average</t>
  </si>
  <si>
    <t>Plant Inf. TSS</t>
  </si>
  <si>
    <t>Aer Inf. TSS</t>
  </si>
  <si>
    <t>Filter Inf. TSS</t>
  </si>
  <si>
    <t>Final Eff. TSS</t>
  </si>
  <si>
    <t>AERATION MLSS</t>
  </si>
  <si>
    <t>Stream Above TSS</t>
  </si>
  <si>
    <t>Stream Below TSS</t>
  </si>
  <si>
    <t>CRIP INF TSS</t>
  </si>
  <si>
    <t>CRIP EFF TSS</t>
  </si>
  <si>
    <t>CRIP MLSS</t>
  </si>
  <si>
    <t>Plant Inf. Sets</t>
  </si>
  <si>
    <t>Aer Inf. Set S.</t>
  </si>
  <si>
    <t>Filter Inf. Set S.</t>
  </si>
  <si>
    <t>Final Eff. Set S.</t>
  </si>
  <si>
    <t>Other Set S.</t>
  </si>
  <si>
    <t>Stream Above Set S.</t>
  </si>
  <si>
    <t>Stream Below Set S.</t>
  </si>
  <si>
    <t>CRIP INF Set S.</t>
  </si>
  <si>
    <t>CRIP EFF Set S.</t>
  </si>
  <si>
    <t>CRIP MLSS Set S.</t>
  </si>
  <si>
    <t>Plant Inf. Ammonia</t>
  </si>
  <si>
    <t>Aer Inf. Ammonia</t>
  </si>
  <si>
    <t>Filter Inf. Ammonia</t>
  </si>
  <si>
    <t>Other Ammonia</t>
  </si>
  <si>
    <t>Stream Above Ammonia</t>
  </si>
  <si>
    <t>Stream Below Ammonia</t>
  </si>
  <si>
    <t>CRIP INF Ammonia</t>
  </si>
  <si>
    <t>CRIP EFF Ammonia</t>
  </si>
  <si>
    <t>CRIP Other Ammonia</t>
  </si>
  <si>
    <t>Plant Inf. pH</t>
  </si>
  <si>
    <t>Aer Inf. pH</t>
  </si>
  <si>
    <t>Filter Inf. pH</t>
  </si>
  <si>
    <t>Final Eff. pH</t>
  </si>
  <si>
    <t>Other pH</t>
  </si>
  <si>
    <t>Stream Above pH</t>
  </si>
  <si>
    <t>Stream Below pH</t>
  </si>
  <si>
    <t>CRIP INF pH</t>
  </si>
  <si>
    <t>CRIP EFF pH</t>
  </si>
  <si>
    <t>CRIP Other pH</t>
  </si>
  <si>
    <t>Plant Inf. BOD</t>
  </si>
  <si>
    <t>Aer Inf. BOD</t>
  </si>
  <si>
    <t>Filter Inf. BOD</t>
  </si>
  <si>
    <t>Final Eff. BOD</t>
  </si>
  <si>
    <t>Blank BOD</t>
  </si>
  <si>
    <t>Stream Above BOD</t>
  </si>
  <si>
    <t>Stream Below BOD</t>
  </si>
  <si>
    <t>CRIP INF BOD</t>
  </si>
  <si>
    <t>CRIP EFF BOD</t>
  </si>
  <si>
    <t>CRIP Blank BOD</t>
  </si>
  <si>
    <t>Plant Inf. DO</t>
  </si>
  <si>
    <t>Aer Inf. DO</t>
  </si>
  <si>
    <t>Filter Inf. DO</t>
  </si>
  <si>
    <t>Final Eff. DO</t>
  </si>
  <si>
    <t>Other DO</t>
  </si>
  <si>
    <t>Stream Above DO</t>
  </si>
  <si>
    <t>Stream Below DO</t>
  </si>
  <si>
    <t>Crip Influent DO</t>
  </si>
  <si>
    <t>Crip Effluent DO</t>
  </si>
  <si>
    <t>Crip Other DO</t>
  </si>
  <si>
    <t>Plant Inf. Temp.</t>
  </si>
  <si>
    <t>Aer Inf. Temp.</t>
  </si>
  <si>
    <t>Filter Inf. Temp.</t>
  </si>
  <si>
    <t>Final Eff. Temp.</t>
  </si>
  <si>
    <t>Other Temp.</t>
  </si>
  <si>
    <t>Stream Above Temp.</t>
  </si>
  <si>
    <t>Stream Below Temp.</t>
  </si>
  <si>
    <t>Crip Influent Temp.</t>
  </si>
  <si>
    <t>Crip Effluent Temp.</t>
  </si>
  <si>
    <t>Crip Other Temp.</t>
  </si>
  <si>
    <t>Laboratory Record of Analysis</t>
  </si>
  <si>
    <t>24-Hour Composite Samples</t>
  </si>
  <si>
    <t>Receiving Stream</t>
  </si>
  <si>
    <t>Time taken to Lab from Sampler:</t>
  </si>
  <si>
    <t>Date</t>
  </si>
  <si>
    <t>Time of Sample</t>
  </si>
  <si>
    <t>Date Collected:</t>
  </si>
  <si>
    <t>Time to Lab</t>
  </si>
  <si>
    <t>Date of Analysis:</t>
  </si>
  <si>
    <t>Collected by</t>
  </si>
  <si>
    <t>Lab Tech Perforing Test:</t>
  </si>
  <si>
    <t>Sample Type</t>
  </si>
  <si>
    <t>Collection Temp. (c):</t>
  </si>
  <si>
    <t>Suspended Solids (SM 209D/EPA M 160.2)</t>
  </si>
  <si>
    <t>Grab Sample Time</t>
  </si>
  <si>
    <t>Plant Inf.</t>
  </si>
  <si>
    <t>Stream Above</t>
  </si>
  <si>
    <t>Stream Below</t>
  </si>
  <si>
    <t>Influent</t>
  </si>
  <si>
    <t>Effluent</t>
  </si>
  <si>
    <t>Filtration Time</t>
  </si>
  <si>
    <t>Solids</t>
  </si>
  <si>
    <t>Suspended Solids (mg/l)</t>
  </si>
  <si>
    <t>Settable Solids (SM 213B)</t>
  </si>
  <si>
    <t>Other</t>
  </si>
  <si>
    <t>Pour Time</t>
  </si>
  <si>
    <t>Read Time</t>
  </si>
  <si>
    <t>Settable Solids (ml/l)</t>
  </si>
  <si>
    <t>Ammonia Nitrogen (SM 417E)</t>
  </si>
  <si>
    <t>Analysis Time</t>
  </si>
  <si>
    <t>Ammonia N (mg/l)</t>
  </si>
  <si>
    <t>pH Determination (SM 423)</t>
  </si>
  <si>
    <t>pH Units</t>
  </si>
  <si>
    <t>6 to 9</t>
  </si>
  <si>
    <t>Carbonaceous Biochemical Oxygen Demand ( 5 Day) (SM 507/EPA M 405.1)</t>
  </si>
  <si>
    <t>Control Blank</t>
  </si>
  <si>
    <t>Analysis Time:</t>
  </si>
  <si>
    <t>Bottle #</t>
  </si>
  <si>
    <t>Initial DO</t>
  </si>
  <si>
    <t>Read Date</t>
  </si>
  <si>
    <t>Final DO</t>
  </si>
  <si>
    <t>Oxygen Demand</t>
  </si>
  <si>
    <t>Dilution Factor</t>
  </si>
  <si>
    <t>( C ) BOD5 (mg/l)</t>
  </si>
  <si>
    <t>Dissolved Oxygen</t>
  </si>
  <si>
    <t>Temp. C</t>
  </si>
  <si>
    <t>Item</t>
  </si>
  <si>
    <t>Method</t>
  </si>
  <si>
    <t>Comments:</t>
  </si>
  <si>
    <t>Rainfall</t>
  </si>
  <si>
    <t>Main Plant</t>
  </si>
  <si>
    <t>Calibrations Performed</t>
  </si>
  <si>
    <t>BOD- 5 Day Testing</t>
  </si>
  <si>
    <t>Operator Transporting Sample to Lab</t>
  </si>
  <si>
    <t>Collection Date</t>
  </si>
  <si>
    <t>Collection Time</t>
  </si>
  <si>
    <t>Collected By</t>
  </si>
  <si>
    <t>Analyzed By</t>
  </si>
  <si>
    <t>Sample #</t>
  </si>
  <si>
    <t>Volume Filtered</t>
  </si>
  <si>
    <t>Coliform Count</t>
  </si>
  <si>
    <t>Coliform per 100 ml</t>
  </si>
  <si>
    <t>Date Analyzed</t>
  </si>
  <si>
    <t>Time Analyzed</t>
  </si>
  <si>
    <t>Read By</t>
  </si>
  <si>
    <t>Total Solids/Volatile Solids:  (S.M. 209A / S.M. 2092)</t>
  </si>
  <si>
    <t>Sludge Hauled</t>
  </si>
  <si>
    <t>Total Solids %</t>
  </si>
  <si>
    <t>Time Collected</t>
  </si>
  <si>
    <t>Dish Wt</t>
  </si>
  <si>
    <t>Volatile %</t>
  </si>
  <si>
    <t>pH Value</t>
  </si>
  <si>
    <t>Time</t>
  </si>
  <si>
    <t>Chlorine</t>
  </si>
  <si>
    <t>Inches</t>
  </si>
  <si>
    <t>Max Value</t>
  </si>
  <si>
    <t>Min Value</t>
  </si>
  <si>
    <t>Filter #</t>
  </si>
  <si>
    <t>Plant Effluent</t>
  </si>
  <si>
    <t>Filter &amp; Solids Wt</t>
  </si>
  <si>
    <t>Filter Wt (paper)</t>
  </si>
  <si>
    <t>Amt Filtered (ml)</t>
  </si>
  <si>
    <t>S1</t>
  </si>
  <si>
    <t>S2</t>
  </si>
  <si>
    <t>Seeded Blank</t>
  </si>
  <si>
    <t>Blank 1</t>
  </si>
  <si>
    <t>Blank 2</t>
  </si>
  <si>
    <t>Blank Correction</t>
  </si>
  <si>
    <t>Sample Size (ml or %)</t>
  </si>
  <si>
    <t>Digestor</t>
  </si>
  <si>
    <t>Stream Ablove</t>
  </si>
  <si>
    <t>Dish wt+Sample</t>
  </si>
  <si>
    <t>Sample Wt</t>
  </si>
  <si>
    <t>Wt After Drying</t>
  </si>
  <si>
    <t>Wt Dry Solids</t>
  </si>
  <si>
    <t>Wt after Burn</t>
  </si>
  <si>
    <t>Wt Vol Solids</t>
  </si>
  <si>
    <t>Clock Hrs.</t>
  </si>
  <si>
    <t>Blower 1</t>
  </si>
  <si>
    <t>Blower 2</t>
  </si>
  <si>
    <t>Pump 1</t>
  </si>
  <si>
    <t>Pump 2</t>
  </si>
  <si>
    <t>R.A.S.</t>
  </si>
  <si>
    <t>Daily Flow</t>
  </si>
  <si>
    <t>Daily Operational Report</t>
  </si>
  <si>
    <t>Hrs Ran</t>
  </si>
  <si>
    <t>INFLUENT</t>
  </si>
  <si>
    <t>EFFLUENT</t>
  </si>
  <si>
    <t>HOURS</t>
  </si>
  <si>
    <t xml:space="preserve">PLANT </t>
  </si>
  <si>
    <t>BY</t>
  </si>
  <si>
    <t>PASSED</t>
  </si>
  <si>
    <t>PLANT FLOWS</t>
  </si>
  <si>
    <t>CHEMICAL USAGE</t>
  </si>
  <si>
    <t>SOLDS</t>
  </si>
  <si>
    <t>%</t>
  </si>
  <si>
    <t>VOLATILE</t>
  </si>
  <si>
    <t>D.O.</t>
  </si>
  <si>
    <t>CEL.</t>
  </si>
  <si>
    <t>RAS</t>
  </si>
  <si>
    <t xml:space="preserve">LBS </t>
  </si>
  <si>
    <t>Calculation of</t>
  </si>
  <si>
    <t>Sludge Application Activities</t>
  </si>
  <si>
    <t>Comments</t>
  </si>
  <si>
    <t>Number</t>
  </si>
  <si>
    <t>Minor</t>
  </si>
  <si>
    <t>BJB</t>
  </si>
  <si>
    <t>of   3</t>
  </si>
  <si>
    <t xml:space="preserve"> 5/7</t>
  </si>
  <si>
    <t>U 0 0</t>
  </si>
  <si>
    <t>Chlorine Residual</t>
  </si>
  <si>
    <t>AerMLVSS</t>
  </si>
  <si>
    <t>AERATION MLVSS LBS</t>
  </si>
  <si>
    <t>Occurances</t>
  </si>
  <si>
    <t>Overflow Use,</t>
  </si>
  <si>
    <t>74062</t>
  </si>
  <si>
    <t>Contin</t>
  </si>
  <si>
    <t>uous</t>
  </si>
  <si>
    <t>Cont</t>
  </si>
  <si>
    <t>BYPASSING IS ANY DIVERSION OF THE WASTEWATER TREATMENT FACILITY AND FOR OVERFLOWS OF THE COLLECTION</t>
  </si>
  <si>
    <t>SYSTEM:  T = WET WEATHER OCCURANCES AND U = ALL OTHER OCCURANCES</t>
  </si>
  <si>
    <t>Maynardville Wastewater Treatment Plant</t>
  </si>
  <si>
    <t>City of Maynardville WWTP</t>
  </si>
  <si>
    <t>Reading</t>
  </si>
  <si>
    <t>Readiing</t>
  </si>
  <si>
    <t>Maynardville WWTP</t>
  </si>
  <si>
    <t>P.O. Box 217</t>
  </si>
  <si>
    <t>Maynardville,  TN  37807</t>
  </si>
  <si>
    <t>Maynardville STP</t>
  </si>
  <si>
    <t>TN0022870</t>
  </si>
  <si>
    <t>Design Capacity of .6 MGD</t>
  </si>
  <si>
    <t>THREE/</t>
  </si>
  <si>
    <t>WEEK</t>
  </si>
  <si>
    <t>992-3821</t>
  </si>
  <si>
    <t>Coliform, Fecal  MF</t>
  </si>
  <si>
    <t>M-FC Broth, 44.5C</t>
  </si>
  <si>
    <t>31616</t>
  </si>
  <si>
    <t>MO GEOMN</t>
  </si>
  <si>
    <t># /</t>
  </si>
  <si>
    <t>100 ML</t>
  </si>
  <si>
    <t>Blowers</t>
  </si>
  <si>
    <t>Aeration 1</t>
  </si>
  <si>
    <t>Aeration 2</t>
  </si>
  <si>
    <t>Aer 1 MLSS</t>
  </si>
  <si>
    <t>Aer 2 MLSS</t>
  </si>
  <si>
    <t>AERATION BASIN # 1</t>
  </si>
  <si>
    <t>AERATION BASIN # 2</t>
  </si>
  <si>
    <t>BOD Probe</t>
  </si>
  <si>
    <t>Ammonia Probe</t>
  </si>
  <si>
    <t>D.O. Probe</t>
  </si>
  <si>
    <t>pH Probe</t>
  </si>
  <si>
    <t>Before SO2</t>
  </si>
  <si>
    <t>After SO 2</t>
  </si>
  <si>
    <t>Dissolved Oxygen  (SM 421F) and Temperature &amp; Total Chlorine Reidual</t>
  </si>
  <si>
    <t>Bacteriological Worksheet     Method:  Hach MFC Filter Broth - Fecal Coliform</t>
  </si>
  <si>
    <t>E. Coli MPN</t>
  </si>
  <si>
    <t>Month of :</t>
  </si>
  <si>
    <t>Sludge</t>
  </si>
  <si>
    <t>Depth</t>
  </si>
  <si>
    <t>Michael Payne - Utility Director</t>
  </si>
  <si>
    <t>E.COLI, MTEC-MF</t>
  </si>
  <si>
    <t>31648</t>
  </si>
  <si>
    <t>INST. MAX</t>
  </si>
  <si>
    <t>DAILY MX</t>
  </si>
  <si>
    <t>EFFLUENT GROSS VALUE</t>
  </si>
  <si>
    <t>TSS</t>
  </si>
  <si>
    <t>SET S</t>
  </si>
  <si>
    <t>Nh3-N</t>
  </si>
  <si>
    <t>E-Coli</t>
  </si>
  <si>
    <t>Fecal</t>
  </si>
  <si>
    <t>Daily Limiit</t>
  </si>
  <si>
    <t>Exceedances</t>
  </si>
  <si>
    <t>Mo Avg (mg/l)</t>
  </si>
  <si>
    <t>Wkly Avg (mg/l)</t>
  </si>
  <si>
    <t>Mo Avg (lbs)</t>
  </si>
  <si>
    <t>Wkly Avg (lbs)</t>
  </si>
  <si>
    <t>DMR Violation Calculations</t>
  </si>
  <si>
    <t>City of Maynardville</t>
  </si>
  <si>
    <t>Collection Overflow Report</t>
  </si>
  <si>
    <t>Over Flow</t>
  </si>
  <si>
    <t>Reported</t>
  </si>
  <si>
    <t>To</t>
  </si>
  <si>
    <t>By</t>
  </si>
  <si>
    <t xml:space="preserve">Overflow </t>
  </si>
  <si>
    <t>Type</t>
  </si>
  <si>
    <t>Total Wet Weather Overflows</t>
  </si>
  <si>
    <t>Total Other Overflows</t>
  </si>
  <si>
    <t>W or O</t>
  </si>
  <si>
    <t>Overflow Viloations</t>
  </si>
  <si>
    <t>Wet Wearther</t>
  </si>
  <si>
    <t>Other Overflows</t>
  </si>
  <si>
    <t>Totals</t>
  </si>
  <si>
    <t>YEAR MO</t>
  </si>
  <si>
    <t>DMR Reporting Month</t>
  </si>
  <si>
    <t>From</t>
  </si>
  <si>
    <t>Year</t>
  </si>
  <si>
    <t>Day</t>
  </si>
  <si>
    <t>Change Brown Numbers Only</t>
  </si>
  <si>
    <t>I CERTIFY UNDER PENALTY OF LAW THAT I HAVE PERSONALLY EXAMED AND AM FAMILIAR WITH THE INFORMATION</t>
  </si>
  <si>
    <t xml:space="preserve"> NAME/TITLE PRINCIPAL EXECUTIVE OFFICER</t>
  </si>
  <si>
    <r>
      <t xml:space="preserve">OF FINE AND IMPRISONMENT SEE 18 U.S.C. &amp; 1001 AND 33 USC &amp; 1319.  </t>
    </r>
    <r>
      <rPr>
        <i/>
        <sz val="4"/>
        <rFont val="Arial"/>
        <family val="2"/>
      </rPr>
      <t>(PENALTIES UNDER THESE STATUTES MAY</t>
    </r>
  </si>
  <si>
    <t>NAME/TITLE PRINCIPAL EXECUTIVE OFFICER</t>
  </si>
  <si>
    <r>
      <t xml:space="preserve">OF FINE AND IMPRISONMENT SEE 18 U.S.C. &amp; 1001 AND 33 USC &amp; 1319.  </t>
    </r>
    <r>
      <rPr>
        <i/>
        <sz val="4"/>
        <rFont val="Adriator"/>
        <family val="0"/>
      </rPr>
      <t>(PENALTIES UNDER THESE STATUTES MAY</t>
    </r>
  </si>
  <si>
    <t>Michael Payne-Utility Director</t>
  </si>
  <si>
    <t xml:space="preserve">   5 DAY C. B.O.D.</t>
  </si>
  <si>
    <t>Gal.</t>
  </si>
  <si>
    <t>of</t>
  </si>
  <si>
    <t>Bleach</t>
  </si>
  <si>
    <t xml:space="preserve">RECEIVING STREAM </t>
  </si>
  <si>
    <t>NaHSO2</t>
  </si>
  <si>
    <t>ECOLI</t>
  </si>
  <si>
    <t>Clarifier1</t>
  </si>
  <si>
    <t>Clarifier2</t>
  </si>
  <si>
    <t xml:space="preserve">Sludge </t>
  </si>
  <si>
    <t xml:space="preserve">Wasting </t>
  </si>
  <si>
    <t>in Hrs.</t>
  </si>
  <si>
    <t>Shipped</t>
  </si>
  <si>
    <t>tons</t>
  </si>
  <si>
    <t>Ridge</t>
  </si>
  <si>
    <t>Landfill in</t>
  </si>
  <si>
    <t>Maynardville Wastewater Treatment Plant M.O.R. / APRIL 2024</t>
  </si>
  <si>
    <t xml:space="preserve">to the </t>
  </si>
  <si>
    <t>Chestnut</t>
  </si>
  <si>
    <t xml:space="preserve">Heiskell, </t>
  </si>
  <si>
    <t>TN.</t>
  </si>
  <si>
    <t>10.74 tons shipped.</t>
  </si>
  <si>
    <t>10.79 tons shipped.</t>
  </si>
  <si>
    <t>12.32 tons shipped.</t>
  </si>
  <si>
    <t>&lt;0.100</t>
  </si>
  <si>
    <t>9.75 tons shipped.</t>
  </si>
  <si>
    <t>8.31 tons shipped.</t>
  </si>
  <si>
    <t>8.17 tons shipped.</t>
  </si>
  <si>
    <t>9.90 tons shipped.</t>
  </si>
  <si>
    <t>Zero</t>
  </si>
  <si>
    <t>Overflows</t>
  </si>
  <si>
    <t xml:space="preserve">for </t>
  </si>
  <si>
    <t>April 2024.</t>
  </si>
  <si>
    <r>
      <t xml:space="preserve">Signature:  </t>
    </r>
    <r>
      <rPr>
        <b/>
        <i/>
        <sz val="18"/>
        <rFont val="Arial"/>
        <family val="2"/>
      </rPr>
      <t>Michael Payne</t>
    </r>
    <r>
      <rPr>
        <b/>
        <sz val="18"/>
        <rFont val="Arial"/>
        <family val="2"/>
      </rPr>
      <t xml:space="preserve">                                                            Cert: #  On File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</si>
</sst>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mmm\-yy"/>
    <numFmt numFmtId="167" formatCode="#,##0.0"/>
    <numFmt numFmtId="168" formatCode="0.0%"/>
    <numFmt numFmtId="169" formatCode="&quot;$&quot;#,##0.00"/>
    <numFmt numFmtId="170" formatCode="#,##0.0000"/>
    <numFmt numFmtId="171" formatCode="0.000"/>
    <numFmt numFmtId="172" formatCode="#,##0.000"/>
    <numFmt numFmtId="173" formatCode="&quot;$&quot;#,##0"/>
    <numFmt numFmtId="174" formatCode="mmmm\ \,\ yyyy"/>
    <numFmt numFmtId="175" formatCode="mmmm\ \ yyyy"/>
    <numFmt numFmtId="176" formatCode="mmmm\ d\,\ yyyy"/>
    <numFmt numFmtId="177" formatCode="mm/dd/yy"/>
    <numFmt numFmtId="178" formatCode="[$-409]dddd\,\ mmmm\ dd\,\ yyyy"/>
    <numFmt numFmtId="179" formatCode="[$-409]mmmm\-yy;@"/>
    <numFmt numFmtId="180" formatCode="[$-409]mmmmm\-yy;@"/>
    <numFmt numFmtId="181" formatCode="[$-409]mmm\-yy;@"/>
    <numFmt numFmtId="182" formatCode="[$-409]h:mm:ss\ AM/PM"/>
    <numFmt numFmtId="183" formatCode="[$-409]h:mm\ AM/PM;@"/>
    <numFmt numFmtId="184" formatCode="m/d/yy;@"/>
    <numFmt numFmtId="185" formatCode="[$-409]dddd\,\ mmmm\ d\,\ yyyy"/>
  </numFmts>
  <fonts count="85">
    <font>
      <sz val="10"/>
      <name val="Arial"/>
      <family val="0"/>
    </font>
    <font>
      <b/>
      <sz val="10"/>
      <name val="Arial"/>
      <family val="2"/>
    </font>
    <font>
      <b/>
      <sz val="15"/>
      <name val="Courier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sz val="12"/>
      <name val="Arial"/>
      <family val="2"/>
    </font>
    <font>
      <b/>
      <sz val="18"/>
      <name val="Courier"/>
      <family val="3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8"/>
      <name val="Courier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Courier"/>
      <family val="3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0"/>
      <name val="Courier"/>
      <family val="3"/>
    </font>
    <font>
      <b/>
      <sz val="12"/>
      <color indexed="8"/>
      <name val="Courier"/>
      <family val="3"/>
    </font>
    <font>
      <b/>
      <i/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ourier"/>
      <family val="3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4"/>
      <name val="Arial"/>
      <family val="2"/>
    </font>
    <font>
      <sz val="4"/>
      <name val="Adriator"/>
      <family val="0"/>
    </font>
    <font>
      <i/>
      <sz val="4"/>
      <name val="Adriator"/>
      <family val="0"/>
    </font>
    <font>
      <b/>
      <sz val="16"/>
      <name val="Courier"/>
      <family val="3"/>
    </font>
    <font>
      <sz val="7.75"/>
      <color indexed="8"/>
      <name val="Arial"/>
      <family val="2"/>
    </font>
    <font>
      <sz val="10.5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.7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 style="dotted"/>
      <top style="dash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>
        <color indexed="63"/>
      </left>
      <right>
        <color indexed="63"/>
      </right>
      <top style="dotted"/>
      <bottom style="dotted"/>
    </border>
    <border>
      <left style="dashed"/>
      <right style="dashed"/>
      <top style="dashed"/>
      <bottom style="dash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 style="dashed"/>
      <top style="dotted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dashed"/>
      <bottom style="thick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8" fontId="5" fillId="0" borderId="20" xfId="0" applyNumberFormat="1" applyFont="1" applyBorder="1" applyAlignment="1" applyProtection="1">
      <alignment horizontal="center"/>
      <protection/>
    </xf>
    <xf numFmtId="168" fontId="5" fillId="0" borderId="21" xfId="0" applyNumberFormat="1" applyFont="1" applyBorder="1" applyAlignment="1" applyProtection="1">
      <alignment horizontal="center"/>
      <protection/>
    </xf>
    <xf numFmtId="168" fontId="5" fillId="0" borderId="22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0" fontId="5" fillId="33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8" fillId="0" borderId="2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23" xfId="0" applyBorder="1" applyAlignment="1">
      <alignment/>
    </xf>
    <xf numFmtId="0" fontId="10" fillId="0" borderId="0" xfId="0" applyFont="1" applyAlignment="1">
      <alignment horizontal="right" vertical="center"/>
    </xf>
    <xf numFmtId="0" fontId="11" fillId="0" borderId="27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27" xfId="0" applyBorder="1" applyAlignment="1">
      <alignment/>
    </xf>
    <xf numFmtId="0" fontId="13" fillId="0" borderId="12" xfId="0" applyFont="1" applyBorder="1" applyAlignment="1">
      <alignment/>
    </xf>
    <xf numFmtId="0" fontId="0" fillId="34" borderId="27" xfId="0" applyFill="1" applyBorder="1" applyAlignment="1">
      <alignment/>
    </xf>
    <xf numFmtId="0" fontId="8" fillId="0" borderId="27" xfId="0" applyFont="1" applyBorder="1" applyAlignment="1">
      <alignment/>
    </xf>
    <xf numFmtId="0" fontId="0" fillId="0" borderId="28" xfId="0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0" fillId="34" borderId="32" xfId="0" applyFill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167" fontId="13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0" fillId="35" borderId="27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 horizontal="left"/>
    </xf>
    <xf numFmtId="0" fontId="10" fillId="35" borderId="32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35" borderId="32" xfId="0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35" borderId="32" xfId="0" applyFont="1" applyFill="1" applyBorder="1" applyAlignment="1" applyProtection="1">
      <alignment horizontal="center"/>
      <protection locked="0"/>
    </xf>
    <xf numFmtId="0" fontId="11" fillId="35" borderId="35" xfId="0" applyFont="1" applyFill="1" applyBorder="1" applyAlignment="1" applyProtection="1">
      <alignment horizont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3" fontId="13" fillId="35" borderId="27" xfId="0" applyNumberFormat="1" applyFont="1" applyFill="1" applyBorder="1" applyAlignment="1">
      <alignment horizontal="center"/>
    </xf>
    <xf numFmtId="164" fontId="13" fillId="35" borderId="27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3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3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13" fillId="0" borderId="33" xfId="0" applyFont="1" applyBorder="1" applyAlignment="1">
      <alignment/>
    </xf>
    <xf numFmtId="0" fontId="0" fillId="0" borderId="33" xfId="0" applyBorder="1" applyAlignment="1">
      <alignment/>
    </xf>
    <xf numFmtId="0" fontId="10" fillId="0" borderId="33" xfId="0" applyFont="1" applyBorder="1" applyAlignment="1">
      <alignment/>
    </xf>
    <xf numFmtId="0" fontId="13" fillId="0" borderId="30" xfId="0" applyFont="1" applyBorder="1" applyAlignment="1">
      <alignment horizontal="right"/>
    </xf>
    <xf numFmtId="0" fontId="13" fillId="0" borderId="37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3" fillId="0" borderId="38" xfId="0" applyFont="1" applyBorder="1" applyAlignment="1">
      <alignment/>
    </xf>
    <xf numFmtId="0" fontId="0" fillId="0" borderId="38" xfId="0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7" fontId="13" fillId="35" borderId="32" xfId="0" applyNumberFormat="1" applyFont="1" applyFill="1" applyBorder="1" applyAlignment="1">
      <alignment horizontal="center"/>
    </xf>
    <xf numFmtId="9" fontId="13" fillId="35" borderId="27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3" fontId="18" fillId="35" borderId="27" xfId="0" applyNumberFormat="1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164" fontId="5" fillId="0" borderId="23" xfId="0" applyNumberFormat="1" applyFont="1" applyBorder="1" applyAlignment="1" applyProtection="1">
      <alignment horizontal="center"/>
      <protection/>
    </xf>
    <xf numFmtId="2" fontId="5" fillId="0" borderId="23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 quotePrefix="1">
      <alignment horizontal="center"/>
      <protection/>
    </xf>
    <xf numFmtId="0" fontId="5" fillId="0" borderId="39" xfId="0" applyNumberFormat="1" applyFont="1" applyBorder="1" applyAlignment="1" applyProtection="1" quotePrefix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6" fillId="0" borderId="0" xfId="57">
      <alignment/>
      <protection/>
    </xf>
    <xf numFmtId="164" fontId="4" fillId="36" borderId="23" xfId="57" applyNumberFormat="1" applyFont="1" applyFill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40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6" fontId="4" fillId="36" borderId="17" xfId="57" applyNumberFormat="1" applyFont="1" applyFill="1" applyBorder="1" applyAlignment="1">
      <alignment horizontal="center"/>
      <protection/>
    </xf>
    <xf numFmtId="18" fontId="6" fillId="36" borderId="17" xfId="57" applyNumberFormat="1" applyFill="1" applyBorder="1">
      <alignment/>
      <protection/>
    </xf>
    <xf numFmtId="49" fontId="4" fillId="0" borderId="17" xfId="57" applyNumberFormat="1" applyFont="1" applyBorder="1" applyAlignment="1">
      <alignment horizontal="center"/>
      <protection/>
    </xf>
    <xf numFmtId="49" fontId="6" fillId="36" borderId="17" xfId="57" applyNumberFormat="1" applyFill="1" applyBorder="1">
      <alignment/>
      <protection/>
    </xf>
    <xf numFmtId="164" fontId="4" fillId="36" borderId="18" xfId="57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37" borderId="42" xfId="57" applyFont="1" applyFill="1" applyBorder="1" applyAlignment="1">
      <alignment horizontal="center"/>
      <protection/>
    </xf>
    <xf numFmtId="165" fontId="4" fillId="37" borderId="18" xfId="57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 quotePrefix="1">
      <alignment horizontal="center"/>
      <protection/>
    </xf>
    <xf numFmtId="0" fontId="4" fillId="0" borderId="0" xfId="0" applyFont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5" fillId="0" borderId="47" xfId="0" applyNumberFormat="1" applyFont="1" applyBorder="1" applyAlignment="1" applyProtection="1">
      <alignment horizontal="center"/>
      <protection/>
    </xf>
    <xf numFmtId="0" fontId="5" fillId="0" borderId="48" xfId="0" applyNumberFormat="1" applyFont="1" applyBorder="1" applyAlignment="1" applyProtection="1">
      <alignment horizontal="center"/>
      <protection/>
    </xf>
    <xf numFmtId="0" fontId="5" fillId="0" borderId="49" xfId="0" applyNumberFormat="1" applyFont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 quotePrefix="1">
      <alignment horizontal="center"/>
      <protection/>
    </xf>
    <xf numFmtId="0" fontId="5" fillId="0" borderId="29" xfId="0" applyNumberFormat="1" applyFont="1" applyBorder="1" applyAlignment="1" applyProtection="1">
      <alignment horizontal="center"/>
      <protection/>
    </xf>
    <xf numFmtId="0" fontId="4" fillId="0" borderId="5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167" fontId="6" fillId="0" borderId="23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167" fontId="6" fillId="0" borderId="29" xfId="0" applyNumberFormat="1" applyFont="1" applyBorder="1" applyAlignment="1">
      <alignment/>
    </xf>
    <xf numFmtId="168" fontId="6" fillId="0" borderId="2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6" fillId="0" borderId="60" xfId="0" applyFont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41" xfId="0" applyFont="1" applyBorder="1" applyAlignment="1">
      <alignment/>
    </xf>
    <xf numFmtId="0" fontId="11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16" fontId="11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5" fillId="0" borderId="68" xfId="0" applyFont="1" applyBorder="1" applyAlignment="1" applyProtection="1">
      <alignment horizontal="center"/>
      <protection/>
    </xf>
    <xf numFmtId="0" fontId="25" fillId="0" borderId="68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25" fillId="0" borderId="0" xfId="0" applyFont="1" applyAlignment="1" applyProtection="1">
      <alignment horizontal="fill"/>
      <protection/>
    </xf>
    <xf numFmtId="0" fontId="25" fillId="0" borderId="0" xfId="0" applyFont="1" applyAlignment="1">
      <alignment/>
    </xf>
    <xf numFmtId="0" fontId="25" fillId="0" borderId="18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69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168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 quotePrefix="1">
      <alignment horizontal="center"/>
    </xf>
    <xf numFmtId="164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5" fillId="0" borderId="0" xfId="0" applyNumberFormat="1" applyFont="1" applyAlignment="1" applyProtection="1">
      <alignment horizontal="fill"/>
      <protection/>
    </xf>
    <xf numFmtId="0" fontId="25" fillId="0" borderId="0" xfId="0" applyNumberFormat="1" applyFont="1" applyAlignment="1" applyProtection="1">
      <alignment/>
      <protection/>
    </xf>
    <xf numFmtId="164" fontId="5" fillId="0" borderId="18" xfId="0" applyNumberFormat="1" applyFont="1" applyBorder="1" applyAlignment="1">
      <alignment/>
    </xf>
    <xf numFmtId="0" fontId="25" fillId="0" borderId="0" xfId="0" applyNumberFormat="1" applyFont="1" applyAlignment="1" applyProtection="1">
      <alignment horizontal="left"/>
      <protection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 applyProtection="1">
      <alignment horizontal="center"/>
      <protection/>
    </xf>
    <xf numFmtId="170" fontId="4" fillId="0" borderId="20" xfId="0" applyNumberFormat="1" applyFont="1" applyBorder="1" applyAlignment="1" applyProtection="1">
      <alignment horizontal="center"/>
      <protection/>
    </xf>
    <xf numFmtId="170" fontId="4" fillId="0" borderId="21" xfId="0" applyNumberFormat="1" applyFont="1" applyBorder="1" applyAlignment="1" applyProtection="1">
      <alignment horizontal="center"/>
      <protection/>
    </xf>
    <xf numFmtId="170" fontId="4" fillId="0" borderId="22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1" fillId="0" borderId="7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1" xfId="0" applyFont="1" applyBorder="1" applyAlignment="1">
      <alignment horizontal="center"/>
    </xf>
    <xf numFmtId="3" fontId="26" fillId="0" borderId="72" xfId="0" applyNumberFormat="1" applyFont="1" applyBorder="1" applyAlignment="1" applyProtection="1">
      <alignment horizontal="center"/>
      <protection locked="0"/>
    </xf>
    <xf numFmtId="3" fontId="4" fillId="0" borderId="72" xfId="0" applyNumberFormat="1" applyFont="1" applyBorder="1" applyAlignment="1">
      <alignment horizontal="center"/>
    </xf>
    <xf numFmtId="10" fontId="26" fillId="0" borderId="72" xfId="0" applyNumberFormat="1" applyFont="1" applyBorder="1" applyAlignment="1" applyProtection="1">
      <alignment horizontal="center"/>
      <protection locked="0"/>
    </xf>
    <xf numFmtId="168" fontId="26" fillId="0" borderId="72" xfId="0" applyNumberFormat="1" applyFont="1" applyBorder="1" applyAlignment="1" applyProtection="1">
      <alignment horizontal="center"/>
      <protection locked="0"/>
    </xf>
    <xf numFmtId="167" fontId="26" fillId="0" borderId="72" xfId="0" applyNumberFormat="1" applyFont="1" applyBorder="1" applyAlignment="1" applyProtection="1">
      <alignment horizontal="center"/>
      <protection locked="0"/>
    </xf>
    <xf numFmtId="2" fontId="4" fillId="0" borderId="73" xfId="0" applyNumberFormat="1" applyFont="1" applyBorder="1" applyAlignment="1">
      <alignment horizontal="center"/>
    </xf>
    <xf numFmtId="167" fontId="26" fillId="0" borderId="74" xfId="0" applyNumberFormat="1" applyFont="1" applyBorder="1" applyAlignment="1" applyProtection="1">
      <alignment horizontal="center"/>
      <protection locked="0"/>
    </xf>
    <xf numFmtId="3" fontId="26" fillId="0" borderId="75" xfId="0" applyNumberFormat="1" applyFont="1" applyBorder="1" applyAlignment="1" applyProtection="1">
      <alignment horizontal="center"/>
      <protection locked="0"/>
    </xf>
    <xf numFmtId="3" fontId="4" fillId="0" borderId="76" xfId="0" applyNumberFormat="1" applyFont="1" applyBorder="1" applyAlignment="1">
      <alignment horizontal="center"/>
    </xf>
    <xf numFmtId="3" fontId="26" fillId="0" borderId="23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>
      <alignment horizontal="center"/>
    </xf>
    <xf numFmtId="10" fontId="26" fillId="0" borderId="23" xfId="0" applyNumberFormat="1" applyFont="1" applyBorder="1" applyAlignment="1" applyProtection="1">
      <alignment horizontal="center"/>
      <protection locked="0"/>
    </xf>
    <xf numFmtId="168" fontId="26" fillId="0" borderId="23" xfId="0" applyNumberFormat="1" applyFont="1" applyBorder="1" applyAlignment="1" applyProtection="1">
      <alignment horizontal="center"/>
      <protection locked="0"/>
    </xf>
    <xf numFmtId="167" fontId="26" fillId="0" borderId="23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>
      <alignment horizontal="center"/>
    </xf>
    <xf numFmtId="167" fontId="26" fillId="0" borderId="61" xfId="0" applyNumberFormat="1" applyFont="1" applyBorder="1" applyAlignment="1" applyProtection="1">
      <alignment horizontal="center"/>
      <protection locked="0"/>
    </xf>
    <xf numFmtId="3" fontId="26" fillId="0" borderId="31" xfId="0" applyNumberFormat="1" applyFont="1" applyBorder="1" applyAlignment="1" applyProtection="1">
      <alignment horizontal="center"/>
      <protection locked="0"/>
    </xf>
    <xf numFmtId="3" fontId="4" fillId="0" borderId="77" xfId="0" applyNumberFormat="1" applyFont="1" applyBorder="1" applyAlignment="1">
      <alignment horizontal="center"/>
    </xf>
    <xf numFmtId="164" fontId="4" fillId="0" borderId="77" xfId="0" applyNumberFormat="1" applyFont="1" applyBorder="1" applyAlignment="1">
      <alignment horizontal="center"/>
    </xf>
    <xf numFmtId="2" fontId="4" fillId="0" borderId="78" xfId="0" applyNumberFormat="1" applyFont="1" applyBorder="1" applyAlignment="1">
      <alignment horizontal="center"/>
    </xf>
    <xf numFmtId="10" fontId="4" fillId="0" borderId="77" xfId="0" applyNumberFormat="1" applyFont="1" applyBorder="1" applyAlignment="1">
      <alignment horizontal="center"/>
    </xf>
    <xf numFmtId="168" fontId="4" fillId="0" borderId="77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10" fontId="4" fillId="0" borderId="35" xfId="0" applyNumberFormat="1" applyFont="1" applyBorder="1" applyAlignment="1">
      <alignment horizontal="center"/>
    </xf>
    <xf numFmtId="168" fontId="4" fillId="0" borderId="35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6" fillId="0" borderId="29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>
      <alignment horizontal="center"/>
    </xf>
    <xf numFmtId="10" fontId="26" fillId="0" borderId="29" xfId="0" applyNumberFormat="1" applyFont="1" applyBorder="1" applyAlignment="1" applyProtection="1">
      <alignment horizontal="center"/>
      <protection locked="0"/>
    </xf>
    <xf numFmtId="168" fontId="26" fillId="0" borderId="29" xfId="0" applyNumberFormat="1" applyFont="1" applyBorder="1" applyAlignment="1" applyProtection="1">
      <alignment horizontal="center"/>
      <protection locked="0"/>
    </xf>
    <xf numFmtId="167" fontId="26" fillId="0" borderId="29" xfId="0" applyNumberFormat="1" applyFont="1" applyBorder="1" applyAlignment="1" applyProtection="1">
      <alignment horizontal="center"/>
      <protection locked="0"/>
    </xf>
    <xf numFmtId="2" fontId="4" fillId="0" borderId="27" xfId="0" applyNumberFormat="1" applyFont="1" applyBorder="1" applyAlignment="1">
      <alignment horizontal="center"/>
    </xf>
    <xf numFmtId="167" fontId="26" fillId="0" borderId="55" xfId="0" applyNumberFormat="1" applyFont="1" applyBorder="1" applyAlignment="1" applyProtection="1">
      <alignment horizontal="center"/>
      <protection locked="0"/>
    </xf>
    <xf numFmtId="3" fontId="26" fillId="0" borderId="28" xfId="0" applyNumberFormat="1" applyFont="1" applyBorder="1" applyAlignment="1" applyProtection="1">
      <alignment horizontal="center"/>
      <protection locked="0"/>
    </xf>
    <xf numFmtId="9" fontId="4" fillId="0" borderId="72" xfId="0" applyNumberFormat="1" applyFont="1" applyBorder="1" applyAlignment="1">
      <alignment horizontal="center"/>
    </xf>
    <xf numFmtId="164" fontId="4" fillId="0" borderId="72" xfId="0" applyNumberFormat="1" applyFont="1" applyBorder="1" applyAlignment="1">
      <alignment horizontal="center"/>
    </xf>
    <xf numFmtId="10" fontId="4" fillId="0" borderId="72" xfId="0" applyNumberFormat="1" applyFont="1" applyBorder="1" applyAlignment="1">
      <alignment horizontal="center"/>
    </xf>
    <xf numFmtId="168" fontId="4" fillId="0" borderId="7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64" fontId="4" fillId="0" borderId="74" xfId="0" applyNumberFormat="1" applyFont="1" applyBorder="1" applyAlignment="1">
      <alignment horizontal="center"/>
    </xf>
    <xf numFmtId="164" fontId="4" fillId="0" borderId="61" xfId="0" applyNumberFormat="1" applyFont="1" applyBorder="1" applyAlignment="1">
      <alignment horizontal="center"/>
    </xf>
    <xf numFmtId="164" fontId="4" fillId="0" borderId="79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27" fillId="0" borderId="51" xfId="0" applyFont="1" applyBorder="1" applyAlignment="1">
      <alignment horizontal="center"/>
    </xf>
    <xf numFmtId="0" fontId="27" fillId="0" borderId="51" xfId="0" applyFont="1" applyBorder="1" applyAlignment="1" applyProtection="1" quotePrefix="1">
      <alignment horizontal="center"/>
      <protection/>
    </xf>
    <xf numFmtId="0" fontId="11" fillId="0" borderId="10" xfId="0" applyFont="1" applyBorder="1" applyAlignment="1" quotePrefix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37" borderId="0" xfId="0" applyFill="1" applyAlignment="1">
      <alignment/>
    </xf>
    <xf numFmtId="0" fontId="6" fillId="37" borderId="81" xfId="57" applyFill="1" applyBorder="1">
      <alignment/>
      <protection/>
    </xf>
    <xf numFmtId="0" fontId="4" fillId="37" borderId="35" xfId="57" applyFont="1" applyFill="1" applyBorder="1" applyAlignment="1">
      <alignment horizontal="center"/>
      <protection/>
    </xf>
    <xf numFmtId="0" fontId="4" fillId="37" borderId="32" xfId="57" applyFont="1" applyFill="1" applyBorder="1" applyAlignment="1">
      <alignment horizontal="center"/>
      <protection/>
    </xf>
    <xf numFmtId="0" fontId="4" fillId="37" borderId="64" xfId="57" applyFont="1" applyFill="1" applyBorder="1" applyAlignment="1">
      <alignment horizontal="center"/>
      <protection/>
    </xf>
    <xf numFmtId="18" fontId="4" fillId="37" borderId="23" xfId="57" applyNumberFormat="1" applyFont="1" applyFill="1" applyBorder="1" applyAlignment="1" applyProtection="1">
      <alignment horizontal="center"/>
      <protection locked="0"/>
    </xf>
    <xf numFmtId="1" fontId="4" fillId="37" borderId="23" xfId="57" applyNumberFormat="1" applyFont="1" applyFill="1" applyBorder="1" applyAlignment="1" applyProtection="1">
      <alignment horizontal="center"/>
      <protection locked="0"/>
    </xf>
    <xf numFmtId="164" fontId="4" fillId="37" borderId="23" xfId="57" applyNumberFormat="1" applyFont="1" applyFill="1" applyBorder="1" applyAlignment="1" applyProtection="1">
      <alignment horizontal="center"/>
      <protection locked="0"/>
    </xf>
    <xf numFmtId="164" fontId="4" fillId="37" borderId="30" xfId="57" applyNumberFormat="1" applyFont="1" applyFill="1" applyBorder="1" applyAlignment="1" applyProtection="1">
      <alignment horizontal="center"/>
      <protection locked="0"/>
    </xf>
    <xf numFmtId="165" fontId="4" fillId="37" borderId="23" xfId="57" applyNumberFormat="1" applyFont="1" applyFill="1" applyBorder="1" applyAlignment="1" applyProtection="1">
      <alignment horizontal="center"/>
      <protection locked="0"/>
    </xf>
    <xf numFmtId="0" fontId="4" fillId="37" borderId="82" xfId="57" applyFont="1" applyFill="1" applyBorder="1" applyAlignment="1">
      <alignment horizontal="center"/>
      <protection/>
    </xf>
    <xf numFmtId="0" fontId="4" fillId="37" borderId="83" xfId="57" applyFont="1" applyFill="1" applyBorder="1" applyAlignment="1">
      <alignment horizontal="center"/>
      <protection/>
    </xf>
    <xf numFmtId="0" fontId="4" fillId="37" borderId="18" xfId="57" applyFont="1" applyFill="1" applyBorder="1" applyAlignment="1">
      <alignment horizontal="center"/>
      <protection/>
    </xf>
    <xf numFmtId="0" fontId="6" fillId="37" borderId="0" xfId="57" applyFill="1" applyBorder="1">
      <alignment/>
      <protection/>
    </xf>
    <xf numFmtId="0" fontId="6" fillId="37" borderId="0" xfId="57" applyFill="1">
      <alignment/>
      <protection/>
    </xf>
    <xf numFmtId="18" fontId="4" fillId="37" borderId="61" xfId="57" applyNumberFormat="1" applyFont="1" applyFill="1" applyBorder="1" applyAlignment="1" applyProtection="1">
      <alignment horizontal="center"/>
      <protection locked="0"/>
    </xf>
    <xf numFmtId="0" fontId="6" fillId="37" borderId="84" xfId="57" applyFill="1" applyBorder="1">
      <alignment/>
      <protection/>
    </xf>
    <xf numFmtId="0" fontId="6" fillId="37" borderId="85" xfId="57" applyFill="1" applyBorder="1">
      <alignment/>
      <protection/>
    </xf>
    <xf numFmtId="0" fontId="4" fillId="37" borderId="18" xfId="0" applyFont="1" applyFill="1" applyBorder="1" applyAlignment="1">
      <alignment horizontal="center"/>
    </xf>
    <xf numFmtId="0" fontId="6" fillId="37" borderId="18" xfId="57" applyFill="1" applyBorder="1">
      <alignment/>
      <protection/>
    </xf>
    <xf numFmtId="0" fontId="6" fillId="37" borderId="0" xfId="0" applyFont="1" applyFill="1" applyAlignment="1">
      <alignment horizontal="center"/>
    </xf>
    <xf numFmtId="0" fontId="4" fillId="37" borderId="86" xfId="57" applyFont="1" applyFill="1" applyBorder="1" applyAlignment="1">
      <alignment horizontal="center"/>
      <protection/>
    </xf>
    <xf numFmtId="18" fontId="4" fillId="37" borderId="18" xfId="0" applyNumberFormat="1" applyFont="1" applyFill="1" applyBorder="1" applyAlignment="1">
      <alignment horizontal="center"/>
    </xf>
    <xf numFmtId="9" fontId="4" fillId="37" borderId="18" xfId="0" applyNumberFormat="1" applyFont="1" applyFill="1" applyBorder="1" applyAlignment="1">
      <alignment horizontal="center"/>
    </xf>
    <xf numFmtId="164" fontId="4" fillId="37" borderId="18" xfId="0" applyNumberFormat="1" applyFont="1" applyFill="1" applyBorder="1" applyAlignment="1">
      <alignment horizontal="center"/>
    </xf>
    <xf numFmtId="177" fontId="4" fillId="37" borderId="18" xfId="0" applyNumberFormat="1" applyFont="1" applyFill="1" applyBorder="1" applyAlignment="1">
      <alignment horizontal="center"/>
    </xf>
    <xf numFmtId="1" fontId="4" fillId="37" borderId="18" xfId="0" applyNumberFormat="1" applyFont="1" applyFill="1" applyBorder="1" applyAlignment="1">
      <alignment horizontal="center"/>
    </xf>
    <xf numFmtId="0" fontId="4" fillId="37" borderId="87" xfId="57" applyFont="1" applyFill="1" applyBorder="1" applyAlignment="1">
      <alignment horizontal="center"/>
      <protection/>
    </xf>
    <xf numFmtId="0" fontId="4" fillId="37" borderId="74" xfId="57" applyFont="1" applyFill="1" applyBorder="1" applyAlignment="1">
      <alignment horizontal="center"/>
      <protection/>
    </xf>
    <xf numFmtId="18" fontId="4" fillId="37" borderId="64" xfId="57" applyNumberFormat="1" applyFont="1" applyFill="1" applyBorder="1" applyAlignment="1" applyProtection="1">
      <alignment horizontal="center"/>
      <protection locked="0"/>
    </xf>
    <xf numFmtId="164" fontId="4" fillId="37" borderId="64" xfId="57" applyNumberFormat="1" applyFont="1" applyFill="1" applyBorder="1" applyAlignment="1" applyProtection="1">
      <alignment horizontal="center"/>
      <protection locked="0"/>
    </xf>
    <xf numFmtId="164" fontId="4" fillId="37" borderId="61" xfId="57" applyNumberFormat="1" applyFont="1" applyFill="1" applyBorder="1" applyAlignment="1" applyProtection="1">
      <alignment horizontal="center"/>
      <protection locked="0"/>
    </xf>
    <xf numFmtId="164" fontId="23" fillId="37" borderId="23" xfId="57" applyNumberFormat="1" applyFont="1" applyFill="1" applyBorder="1" applyAlignment="1">
      <alignment horizontal="center"/>
      <protection/>
    </xf>
    <xf numFmtId="164" fontId="23" fillId="37" borderId="61" xfId="57" applyNumberFormat="1" applyFont="1" applyFill="1" applyBorder="1" applyAlignment="1">
      <alignment horizontal="center"/>
      <protection/>
    </xf>
    <xf numFmtId="0" fontId="4" fillId="37" borderId="0" xfId="0" applyFont="1" applyFill="1" applyAlignment="1">
      <alignment horizontal="center"/>
    </xf>
    <xf numFmtId="164" fontId="1" fillId="37" borderId="23" xfId="0" applyNumberFormat="1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6" fillId="37" borderId="19" xfId="57" applyFill="1" applyBorder="1">
      <alignment/>
      <protection/>
    </xf>
    <xf numFmtId="0" fontId="6" fillId="37" borderId="88" xfId="57" applyFill="1" applyBorder="1">
      <alignment/>
      <protection/>
    </xf>
    <xf numFmtId="14" fontId="4" fillId="37" borderId="18" xfId="57" applyNumberFormat="1" applyFont="1" applyFill="1" applyBorder="1" applyAlignment="1">
      <alignment horizontal="center"/>
      <protection/>
    </xf>
    <xf numFmtId="0" fontId="4" fillId="37" borderId="18" xfId="57" applyFont="1" applyFill="1" applyBorder="1">
      <alignment/>
      <protection/>
    </xf>
    <xf numFmtId="14" fontId="4" fillId="37" borderId="23" xfId="57" applyNumberFormat="1" applyFont="1" applyFill="1" applyBorder="1" applyAlignment="1" applyProtection="1">
      <alignment horizontal="center"/>
      <protection locked="0"/>
    </xf>
    <xf numFmtId="49" fontId="4" fillId="37" borderId="23" xfId="57" applyNumberFormat="1" applyFont="1" applyFill="1" applyBorder="1" applyAlignment="1" applyProtection="1">
      <alignment horizontal="center"/>
      <protection locked="0"/>
    </xf>
    <xf numFmtId="1" fontId="4" fillId="37" borderId="23" xfId="57" applyNumberFormat="1" applyFont="1" applyFill="1" applyBorder="1" applyAlignment="1">
      <alignment horizontal="center"/>
      <protection/>
    </xf>
    <xf numFmtId="3" fontId="4" fillId="37" borderId="23" xfId="57" applyNumberFormat="1" applyFont="1" applyFill="1" applyBorder="1" applyAlignment="1">
      <alignment horizontal="center"/>
      <protection/>
    </xf>
    <xf numFmtId="49" fontId="4" fillId="37" borderId="18" xfId="57" applyNumberFormat="1" applyFont="1" applyFill="1" applyBorder="1" applyAlignment="1" applyProtection="1">
      <alignment horizontal="center"/>
      <protection locked="0"/>
    </xf>
    <xf numFmtId="18" fontId="4" fillId="37" borderId="18" xfId="57" applyNumberFormat="1" applyFont="1" applyFill="1" applyBorder="1" applyAlignment="1" applyProtection="1">
      <alignment horizontal="center"/>
      <protection locked="0"/>
    </xf>
    <xf numFmtId="10" fontId="4" fillId="37" borderId="88" xfId="57" applyNumberFormat="1" applyFont="1" applyFill="1" applyBorder="1" applyAlignment="1" applyProtection="1">
      <alignment horizontal="center"/>
      <protection locked="0"/>
    </xf>
    <xf numFmtId="0" fontId="4" fillId="37" borderId="19" xfId="57" applyFont="1" applyFill="1" applyBorder="1" applyAlignment="1">
      <alignment horizontal="center"/>
      <protection/>
    </xf>
    <xf numFmtId="165" fontId="4" fillId="37" borderId="41" xfId="57" applyNumberFormat="1" applyFont="1" applyFill="1" applyBorder="1" applyAlignment="1" applyProtection="1">
      <alignment horizontal="center"/>
      <protection locked="0"/>
    </xf>
    <xf numFmtId="165" fontId="4" fillId="37" borderId="89" xfId="57" applyNumberFormat="1" applyFont="1" applyFill="1" applyBorder="1" applyAlignment="1" applyProtection="1">
      <alignment horizontal="center"/>
      <protection locked="0"/>
    </xf>
    <xf numFmtId="9" fontId="4" fillId="37" borderId="89" xfId="57" applyNumberFormat="1" applyFont="1" applyFill="1" applyBorder="1" applyAlignment="1" applyProtection="1">
      <alignment horizontal="center"/>
      <protection locked="0"/>
    </xf>
    <xf numFmtId="164" fontId="4" fillId="37" borderId="41" xfId="57" applyNumberFormat="1" applyFont="1" applyFill="1" applyBorder="1" applyAlignment="1" applyProtection="1">
      <alignment horizontal="center"/>
      <protection locked="0"/>
    </xf>
    <xf numFmtId="0" fontId="3" fillId="37" borderId="90" xfId="57" applyFont="1" applyFill="1" applyBorder="1" applyAlignment="1">
      <alignment/>
      <protection/>
    </xf>
    <xf numFmtId="0" fontId="3" fillId="37" borderId="91" xfId="57" applyFont="1" applyFill="1" applyBorder="1" applyAlignment="1">
      <alignment/>
      <protection/>
    </xf>
    <xf numFmtId="14" fontId="4" fillId="37" borderId="19" xfId="57" applyNumberFormat="1" applyFont="1" applyFill="1" applyBorder="1" applyAlignment="1">
      <alignment horizontal="center"/>
      <protection/>
    </xf>
    <xf numFmtId="0" fontId="6" fillId="37" borderId="92" xfId="57" applyFill="1" applyBorder="1">
      <alignment/>
      <protection/>
    </xf>
    <xf numFmtId="0" fontId="20" fillId="0" borderId="93" xfId="57" applyFont="1" applyBorder="1" applyAlignment="1">
      <alignment/>
      <protection/>
    </xf>
    <xf numFmtId="0" fontId="20" fillId="0" borderId="94" xfId="57" applyFont="1" applyBorder="1" applyAlignment="1">
      <alignment/>
      <protection/>
    </xf>
    <xf numFmtId="164" fontId="4" fillId="37" borderId="23" xfId="57" applyNumberFormat="1" applyFont="1" applyFill="1" applyBorder="1" applyAlignment="1">
      <alignment horizontal="center"/>
      <protection/>
    </xf>
    <xf numFmtId="0" fontId="4" fillId="37" borderId="23" xfId="0" applyFont="1" applyFill="1" applyBorder="1" applyAlignment="1">
      <alignment horizontal="center"/>
    </xf>
    <xf numFmtId="18" fontId="4" fillId="37" borderId="23" xfId="0" applyNumberFormat="1" applyFont="1" applyFill="1" applyBorder="1" applyAlignment="1">
      <alignment/>
    </xf>
    <xf numFmtId="18" fontId="4" fillId="37" borderId="23" xfId="0" applyNumberFormat="1" applyFont="1" applyFill="1" applyBorder="1" applyAlignment="1">
      <alignment horizontal="center"/>
    </xf>
    <xf numFmtId="0" fontId="4" fillId="37" borderId="23" xfId="57" applyFont="1" applyFill="1" applyBorder="1" applyAlignment="1">
      <alignment horizontal="center"/>
      <protection/>
    </xf>
    <xf numFmtId="0" fontId="6" fillId="37" borderId="23" xfId="57" applyFill="1" applyBorder="1">
      <alignment/>
      <protection/>
    </xf>
    <xf numFmtId="165" fontId="4" fillId="37" borderId="23" xfId="57" applyNumberFormat="1" applyFont="1" applyFill="1" applyBorder="1" applyAlignment="1">
      <alignment horizontal="center"/>
      <protection/>
    </xf>
    <xf numFmtId="3" fontId="23" fillId="37" borderId="23" xfId="57" applyNumberFormat="1" applyFont="1" applyFill="1" applyBorder="1" applyAlignment="1">
      <alignment horizontal="center"/>
      <protection/>
    </xf>
    <xf numFmtId="0" fontId="23" fillId="37" borderId="23" xfId="57" applyFont="1" applyFill="1" applyBorder="1" applyAlignment="1">
      <alignment horizontal="center"/>
      <protection/>
    </xf>
    <xf numFmtId="2" fontId="4" fillId="37" borderId="23" xfId="57" applyNumberFormat="1" applyFont="1" applyFill="1" applyBorder="1" applyAlignment="1">
      <alignment horizontal="center"/>
      <protection/>
    </xf>
    <xf numFmtId="16" fontId="23" fillId="37" borderId="23" xfId="57" applyNumberFormat="1" applyFont="1" applyFill="1" applyBorder="1" applyAlignment="1">
      <alignment horizontal="center"/>
      <protection/>
    </xf>
    <xf numFmtId="0" fontId="1" fillId="37" borderId="23" xfId="0" applyFont="1" applyFill="1" applyBorder="1" applyAlignment="1">
      <alignment/>
    </xf>
    <xf numFmtId="175" fontId="3" fillId="0" borderId="37" xfId="0" applyNumberFormat="1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1" fillId="0" borderId="10" xfId="0" applyNumberFormat="1" applyFont="1" applyBorder="1" applyAlignment="1" applyProtection="1" quotePrefix="1">
      <alignment horizontal="center"/>
      <protection locked="0"/>
    </xf>
    <xf numFmtId="171" fontId="26" fillId="0" borderId="69" xfId="0" applyNumberFormat="1" applyFont="1" applyBorder="1" applyAlignment="1" applyProtection="1">
      <alignment horizontal="center"/>
      <protection locked="0"/>
    </xf>
    <xf numFmtId="164" fontId="0" fillId="37" borderId="23" xfId="0" applyNumberFormat="1" applyFill="1" applyBorder="1" applyAlignment="1">
      <alignment horizontal="center"/>
    </xf>
    <xf numFmtId="167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13" fillId="38" borderId="23" xfId="0" applyFont="1" applyFill="1" applyBorder="1" applyAlignment="1" applyProtection="1">
      <alignment/>
      <protection locked="0"/>
    </xf>
    <xf numFmtId="0" fontId="13" fillId="38" borderId="23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168" fontId="23" fillId="37" borderId="23" xfId="0" applyNumberFormat="1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1" fontId="31" fillId="38" borderId="23" xfId="0" applyNumberFormat="1" applyFont="1" applyFill="1" applyBorder="1" applyAlignment="1" applyProtection="1">
      <alignment horizontal="center"/>
      <protection locked="0"/>
    </xf>
    <xf numFmtId="1" fontId="30" fillId="38" borderId="23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0" fillId="38" borderId="23" xfId="0" applyNumberFormat="1" applyFont="1" applyFill="1" applyBorder="1" applyAlignment="1">
      <alignment/>
    </xf>
    <xf numFmtId="179" fontId="4" fillId="0" borderId="23" xfId="0" applyNumberFormat="1" applyFont="1" applyBorder="1" applyAlignment="1">
      <alignment horizontal="center"/>
    </xf>
    <xf numFmtId="1" fontId="30" fillId="0" borderId="23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1" fillId="38" borderId="28" xfId="0" applyFont="1" applyFill="1" applyBorder="1" applyAlignment="1" applyProtection="1">
      <alignment horizontal="center" vertical="center"/>
      <protection locked="0"/>
    </xf>
    <xf numFmtId="0" fontId="32" fillId="37" borderId="23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33" fillId="0" borderId="23" xfId="0" applyFont="1" applyBorder="1" applyAlignment="1">
      <alignment/>
    </xf>
    <xf numFmtId="0" fontId="11" fillId="0" borderId="27" xfId="0" applyFont="1" applyBorder="1" applyAlignment="1" applyProtection="1">
      <alignment horizontal="right" vertical="center"/>
      <protection locked="0"/>
    </xf>
    <xf numFmtId="181" fontId="13" fillId="38" borderId="23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6" xfId="0" applyFont="1" applyBorder="1" applyAlignment="1">
      <alignment/>
    </xf>
    <xf numFmtId="0" fontId="35" fillId="0" borderId="0" xfId="0" applyFont="1" applyAlignment="1">
      <alignment/>
    </xf>
    <xf numFmtId="0" fontId="36" fillId="0" borderId="33" xfId="0" applyFont="1" applyBorder="1" applyAlignment="1">
      <alignment/>
    </xf>
    <xf numFmtId="0" fontId="37" fillId="0" borderId="0" xfId="0" applyFont="1" applyAlignment="1">
      <alignment/>
    </xf>
    <xf numFmtId="0" fontId="38" fillId="0" borderId="33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0" fillId="37" borderId="23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2" fontId="5" fillId="0" borderId="39" xfId="0" applyNumberFormat="1" applyFont="1" applyBorder="1" applyAlignment="1" applyProtection="1">
      <alignment horizontal="center"/>
      <protection/>
    </xf>
    <xf numFmtId="3" fontId="4" fillId="0" borderId="74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3" fontId="4" fillId="0" borderId="79" xfId="0" applyNumberFormat="1" applyFont="1" applyBorder="1" applyAlignment="1">
      <alignment horizontal="center"/>
    </xf>
    <xf numFmtId="3" fontId="0" fillId="37" borderId="30" xfId="0" applyNumberForma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37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63" xfId="0" applyFont="1" applyBorder="1" applyAlignment="1">
      <alignment/>
    </xf>
    <xf numFmtId="171" fontId="5" fillId="33" borderId="48" xfId="0" applyNumberFormat="1" applyFont="1" applyFill="1" applyBorder="1" applyAlignment="1" applyProtection="1">
      <alignment horizontal="center"/>
      <protection/>
    </xf>
    <xf numFmtId="171" fontId="5" fillId="33" borderId="95" xfId="0" applyNumberFormat="1" applyFont="1" applyFill="1" applyBorder="1" applyAlignment="1" applyProtection="1">
      <alignment horizontal="center"/>
      <protection/>
    </xf>
    <xf numFmtId="171" fontId="5" fillId="0" borderId="48" xfId="0" applyNumberFormat="1" applyFont="1" applyBorder="1" applyAlignment="1" applyProtection="1">
      <alignment horizontal="center"/>
      <protection/>
    </xf>
    <xf numFmtId="171" fontId="5" fillId="0" borderId="95" xfId="0" applyNumberFormat="1" applyFont="1" applyBorder="1" applyAlignment="1" applyProtection="1">
      <alignment horizontal="center"/>
      <protection/>
    </xf>
    <xf numFmtId="164" fontId="5" fillId="0" borderId="51" xfId="0" applyNumberFormat="1" applyFont="1" applyBorder="1" applyAlignment="1" applyProtection="1">
      <alignment horizontal="center"/>
      <protection/>
    </xf>
    <xf numFmtId="164" fontId="5" fillId="0" borderId="51" xfId="0" applyNumberFormat="1" applyFont="1" applyBorder="1" applyAlignment="1">
      <alignment horizontal="center"/>
    </xf>
    <xf numFmtId="164" fontId="5" fillId="0" borderId="51" xfId="0" applyNumberFormat="1" applyFont="1" applyBorder="1" applyAlignment="1" quotePrefix="1">
      <alignment horizontal="center"/>
    </xf>
    <xf numFmtId="164" fontId="5" fillId="0" borderId="51" xfId="0" applyNumberFormat="1" applyFont="1" applyBorder="1" applyAlignment="1" applyProtection="1" quotePrefix="1">
      <alignment horizontal="center"/>
      <protection/>
    </xf>
    <xf numFmtId="167" fontId="5" fillId="0" borderId="39" xfId="0" applyNumberFormat="1" applyFont="1" applyBorder="1" applyAlignment="1" applyProtection="1">
      <alignment horizontal="center"/>
      <protection/>
    </xf>
    <xf numFmtId="2" fontId="0" fillId="37" borderId="23" xfId="0" applyNumberFormat="1" applyFill="1" applyBorder="1" applyAlignment="1">
      <alignment horizontal="center"/>
    </xf>
    <xf numFmtId="2" fontId="26" fillId="0" borderId="48" xfId="0" applyNumberFormat="1" applyFont="1" applyBorder="1" applyAlignment="1" applyProtection="1">
      <alignment horizontal="center"/>
      <protection locked="0"/>
    </xf>
    <xf numFmtId="171" fontId="26" fillId="0" borderId="48" xfId="0" applyNumberFormat="1" applyFont="1" applyBorder="1" applyAlignment="1" applyProtection="1">
      <alignment horizontal="center"/>
      <protection locked="0"/>
    </xf>
    <xf numFmtId="164" fontId="26" fillId="0" borderId="51" xfId="0" applyNumberFormat="1" applyFont="1" applyBorder="1" applyAlignment="1" applyProtection="1">
      <alignment horizontal="center"/>
      <protection locked="0"/>
    </xf>
    <xf numFmtId="168" fontId="26" fillId="0" borderId="51" xfId="0" applyNumberFormat="1" applyFont="1" applyBorder="1" applyAlignment="1" applyProtection="1">
      <alignment horizontal="center"/>
      <protection locked="0"/>
    </xf>
    <xf numFmtId="2" fontId="26" fillId="0" borderId="51" xfId="0" applyNumberFormat="1" applyFont="1" applyBorder="1" applyAlignment="1" applyProtection="1">
      <alignment horizontal="center"/>
      <protection locked="0"/>
    </xf>
    <xf numFmtId="1" fontId="26" fillId="0" borderId="51" xfId="0" applyNumberFormat="1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>
      <alignment horizontal="center"/>
    </xf>
    <xf numFmtId="0" fontId="26" fillId="0" borderId="0" xfId="0" applyNumberFormat="1" applyFont="1" applyBorder="1" applyAlignment="1" applyProtection="1">
      <alignment horizontal="center"/>
      <protection locked="0"/>
    </xf>
    <xf numFmtId="164" fontId="5" fillId="0" borderId="39" xfId="0" applyNumberFormat="1" applyFont="1" applyBorder="1" applyAlignment="1" applyProtection="1">
      <alignment horizontal="center"/>
      <protection/>
    </xf>
    <xf numFmtId="171" fontId="5" fillId="0" borderId="39" xfId="0" applyNumberFormat="1" applyFont="1" applyBorder="1" applyAlignment="1" applyProtection="1">
      <alignment horizontal="center"/>
      <protection/>
    </xf>
    <xf numFmtId="168" fontId="5" fillId="0" borderId="39" xfId="0" applyNumberFormat="1" applyFont="1" applyBorder="1" applyAlignment="1" applyProtection="1">
      <alignment horizontal="center"/>
      <protection/>
    </xf>
    <xf numFmtId="1" fontId="5" fillId="0" borderId="39" xfId="0" applyNumberFormat="1" applyFont="1" applyBorder="1" applyAlignment="1" applyProtection="1">
      <alignment horizontal="center"/>
      <protection/>
    </xf>
    <xf numFmtId="3" fontId="5" fillId="0" borderId="96" xfId="0" applyNumberFormat="1" applyFont="1" applyBorder="1" applyAlignment="1" applyProtection="1">
      <alignment horizontal="center"/>
      <protection/>
    </xf>
    <xf numFmtId="171" fontId="5" fillId="0" borderId="23" xfId="0" applyNumberFormat="1" applyFont="1" applyBorder="1" applyAlignment="1" applyProtection="1">
      <alignment horizontal="center"/>
      <protection/>
    </xf>
    <xf numFmtId="168" fontId="5" fillId="0" borderId="23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164" fontId="26" fillId="0" borderId="23" xfId="0" applyNumberFormat="1" applyFont="1" applyBorder="1" applyAlignment="1" applyProtection="1">
      <alignment horizontal="center"/>
      <protection/>
    </xf>
    <xf numFmtId="168" fontId="26" fillId="0" borderId="23" xfId="0" applyNumberFormat="1" applyFont="1" applyBorder="1" applyAlignment="1" applyProtection="1">
      <alignment horizontal="center"/>
      <protection/>
    </xf>
    <xf numFmtId="2" fontId="26" fillId="0" borderId="23" xfId="0" applyNumberFormat="1" applyFont="1" applyBorder="1" applyAlignment="1" applyProtection="1">
      <alignment horizontal="center"/>
      <protection/>
    </xf>
    <xf numFmtId="1" fontId="26" fillId="0" borderId="23" xfId="0" applyNumberFormat="1" applyFont="1" applyBorder="1" applyAlignment="1" applyProtection="1">
      <alignment horizontal="center"/>
      <protection/>
    </xf>
    <xf numFmtId="2" fontId="5" fillId="0" borderId="29" xfId="0" applyNumberFormat="1" applyFont="1" applyBorder="1" applyAlignment="1" applyProtection="1">
      <alignment horizontal="center"/>
      <protection/>
    </xf>
    <xf numFmtId="171" fontId="5" fillId="0" borderId="29" xfId="0" applyNumberFormat="1" applyFont="1" applyBorder="1" applyAlignment="1" applyProtection="1">
      <alignment horizontal="center"/>
      <protection/>
    </xf>
    <xf numFmtId="164" fontId="5" fillId="0" borderId="29" xfId="0" applyNumberFormat="1" applyFont="1" applyBorder="1" applyAlignment="1" applyProtection="1">
      <alignment horizontal="center"/>
      <protection/>
    </xf>
    <xf numFmtId="168" fontId="5" fillId="0" borderId="29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164" fontId="26" fillId="0" borderId="97" xfId="0" applyNumberFormat="1" applyFont="1" applyBorder="1" applyAlignment="1" applyProtection="1">
      <alignment horizontal="center"/>
      <protection locked="0"/>
    </xf>
    <xf numFmtId="2" fontId="26" fillId="0" borderId="98" xfId="0" applyNumberFormat="1" applyFont="1" applyBorder="1" applyAlignment="1" applyProtection="1">
      <alignment horizontal="center"/>
      <protection locked="0"/>
    </xf>
    <xf numFmtId="2" fontId="26" fillId="0" borderId="97" xfId="0" applyNumberFormat="1" applyFont="1" applyBorder="1" applyAlignment="1" applyProtection="1">
      <alignment horizontal="center"/>
      <protection locked="0"/>
    </xf>
    <xf numFmtId="1" fontId="26" fillId="0" borderId="99" xfId="0" applyNumberFormat="1" applyFont="1" applyBorder="1" applyAlignment="1" applyProtection="1">
      <alignment horizontal="center"/>
      <protection locked="0"/>
    </xf>
    <xf numFmtId="2" fontId="26" fillId="0" borderId="99" xfId="0" applyNumberFormat="1" applyFont="1" applyBorder="1" applyAlignment="1" applyProtection="1">
      <alignment horizontal="center"/>
      <protection locked="0"/>
    </xf>
    <xf numFmtId="175" fontId="4" fillId="0" borderId="30" xfId="0" applyNumberFormat="1" applyFont="1" applyBorder="1" applyAlignment="1">
      <alignment/>
    </xf>
    <xf numFmtId="14" fontId="6" fillId="0" borderId="23" xfId="0" applyNumberFormat="1" applyFont="1" applyBorder="1" applyAlignment="1">
      <alignment/>
    </xf>
    <xf numFmtId="183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84" fontId="6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168" fontId="5" fillId="0" borderId="18" xfId="6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20" xfId="0" applyNumberFormat="1" applyFont="1" applyBorder="1" applyAlignment="1" applyProtection="1">
      <alignment horizontal="center"/>
      <protection/>
    </xf>
    <xf numFmtId="164" fontId="4" fillId="0" borderId="21" xfId="0" applyNumberFormat="1" applyFont="1" applyBorder="1" applyAlignment="1" applyProtection="1">
      <alignment horizontal="center"/>
      <protection/>
    </xf>
    <xf numFmtId="164" fontId="4" fillId="0" borderId="22" xfId="0" applyNumberFormat="1" applyFont="1" applyBorder="1" applyAlignment="1" applyProtection="1">
      <alignment horizontal="center"/>
      <protection/>
    </xf>
    <xf numFmtId="183" fontId="45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168" fontId="5" fillId="0" borderId="39" xfId="60" applyNumberFormat="1" applyFont="1" applyBorder="1" applyAlignment="1" applyProtection="1">
      <alignment horizontal="center"/>
      <protection/>
    </xf>
    <xf numFmtId="3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37" borderId="30" xfId="0" applyNumberFormat="1" applyFont="1" applyFill="1" applyBorder="1" applyAlignment="1">
      <alignment horizontal="center"/>
    </xf>
    <xf numFmtId="3" fontId="0" fillId="37" borderId="3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0" fillId="37" borderId="30" xfId="0" applyNumberFormat="1" applyFill="1" applyBorder="1" applyAlignment="1">
      <alignment horizontal="center"/>
    </xf>
    <xf numFmtId="3" fontId="0" fillId="37" borderId="31" xfId="0" applyNumberForma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5" fontId="4" fillId="38" borderId="30" xfId="0" applyNumberFormat="1" applyFont="1" applyFill="1" applyBorder="1" applyAlignment="1">
      <alignment horizontal="center"/>
    </xf>
    <xf numFmtId="175" fontId="4" fillId="38" borderId="37" xfId="0" applyNumberFormat="1" applyFont="1" applyFill="1" applyBorder="1" applyAlignment="1">
      <alignment horizontal="center"/>
    </xf>
    <xf numFmtId="175" fontId="4" fillId="38" borderId="31" xfId="0" applyNumberFormat="1" applyFont="1" applyFill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75" fontId="22" fillId="0" borderId="30" xfId="0" applyNumberFormat="1" applyFont="1" applyBorder="1" applyAlignment="1">
      <alignment horizontal="center"/>
    </xf>
    <xf numFmtId="175" fontId="22" fillId="0" borderId="37" xfId="0" applyNumberFormat="1" applyFont="1" applyBorder="1" applyAlignment="1">
      <alignment horizontal="center"/>
    </xf>
    <xf numFmtId="175" fontId="22" fillId="0" borderId="31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00" xfId="0" applyFont="1" applyBorder="1" applyAlignment="1" applyProtection="1">
      <alignment horizontal="center"/>
      <protection/>
    </xf>
    <xf numFmtId="0" fontId="5" fillId="0" borderId="102" xfId="0" applyFont="1" applyBorder="1" applyAlignment="1" applyProtection="1">
      <alignment horizontal="center"/>
      <protection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20" fillId="0" borderId="108" xfId="0" applyFont="1" applyBorder="1" applyAlignment="1">
      <alignment horizontal="center"/>
    </xf>
    <xf numFmtId="0" fontId="20" fillId="0" borderId="109" xfId="0" applyFont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1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175" fontId="22" fillId="0" borderId="78" xfId="0" applyNumberFormat="1" applyFont="1" applyBorder="1" applyAlignment="1">
      <alignment horizontal="center"/>
    </xf>
    <xf numFmtId="175" fontId="22" fillId="0" borderId="115" xfId="0" applyNumberFormat="1" applyFont="1" applyBorder="1" applyAlignment="1">
      <alignment horizontal="center"/>
    </xf>
    <xf numFmtId="175" fontId="22" fillId="0" borderId="80" xfId="0" applyNumberFormat="1" applyFont="1" applyBorder="1" applyAlignment="1">
      <alignment horizontal="center"/>
    </xf>
    <xf numFmtId="0" fontId="1" fillId="0" borderId="116" xfId="0" applyFont="1" applyBorder="1" applyAlignment="1" applyProtection="1" quotePrefix="1">
      <alignment horizontal="center"/>
      <protection/>
    </xf>
    <xf numFmtId="0" fontId="1" fillId="0" borderId="117" xfId="0" applyFont="1" applyBorder="1" applyAlignment="1" applyProtection="1" quotePrefix="1">
      <alignment horizontal="center"/>
      <protection/>
    </xf>
    <xf numFmtId="0" fontId="1" fillId="0" borderId="25" xfId="0" applyFont="1" applyBorder="1" applyAlignment="1" applyProtection="1" quotePrefix="1">
      <alignment horizontal="center"/>
      <protection/>
    </xf>
    <xf numFmtId="0" fontId="1" fillId="0" borderId="70" xfId="0" applyFont="1" applyBorder="1" applyAlignment="1" applyProtection="1" quotePrefix="1">
      <alignment horizontal="center"/>
      <protection/>
    </xf>
    <xf numFmtId="0" fontId="21" fillId="0" borderId="3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75" fontId="39" fillId="0" borderId="30" xfId="0" applyNumberFormat="1" applyFont="1" applyBorder="1" applyAlignment="1">
      <alignment horizontal="center"/>
    </xf>
    <xf numFmtId="175" fontId="39" fillId="0" borderId="37" xfId="0" applyNumberFormat="1" applyFont="1" applyBorder="1" applyAlignment="1">
      <alignment horizontal="center"/>
    </xf>
    <xf numFmtId="175" fontId="39" fillId="0" borderId="31" xfId="0" applyNumberFormat="1" applyFont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11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67" fontId="4" fillId="0" borderId="29" xfId="0" applyNumberFormat="1" applyFont="1" applyBorder="1" applyAlignment="1" applyProtection="1">
      <alignment horizontal="center"/>
      <protection locked="0"/>
    </xf>
    <xf numFmtId="167" fontId="4" fillId="0" borderId="35" xfId="0" applyNumberFormat="1" applyFont="1" applyBorder="1" applyAlignment="1" applyProtection="1">
      <alignment horizontal="center"/>
      <protection locked="0"/>
    </xf>
    <xf numFmtId="167" fontId="4" fillId="37" borderId="29" xfId="0" applyNumberFormat="1" applyFont="1" applyFill="1" applyBorder="1" applyAlignment="1" applyProtection="1">
      <alignment horizontal="center"/>
      <protection locked="0"/>
    </xf>
    <xf numFmtId="167" fontId="4" fillId="37" borderId="35" xfId="0" applyNumberFormat="1" applyFont="1" applyFill="1" applyBorder="1" applyAlignment="1" applyProtection="1">
      <alignment horizontal="center"/>
      <protection locked="0"/>
    </xf>
    <xf numFmtId="0" fontId="35" fillId="0" borderId="27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9" fontId="4" fillId="0" borderId="29" xfId="0" applyNumberFormat="1" applyFont="1" applyBorder="1" applyAlignment="1" applyProtection="1">
      <alignment horizontal="center"/>
      <protection locked="0"/>
    </xf>
    <xf numFmtId="9" fontId="4" fillId="0" borderId="35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3" fillId="0" borderId="29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4" fontId="4" fillId="0" borderId="29" xfId="0" applyNumberFormat="1" applyFont="1" applyBorder="1" applyAlignment="1" applyProtection="1">
      <alignment horizontal="center"/>
      <protection locked="0"/>
    </xf>
    <xf numFmtId="4" fontId="4" fillId="0" borderId="35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 applyProtection="1">
      <alignment horizontal="center"/>
      <protection locked="0"/>
    </xf>
    <xf numFmtId="3" fontId="4" fillId="37" borderId="29" xfId="0" applyNumberFormat="1" applyFont="1" applyFill="1" applyBorder="1" applyAlignment="1" applyProtection="1">
      <alignment horizontal="center"/>
      <protection locked="0"/>
    </xf>
    <xf numFmtId="3" fontId="4" fillId="37" borderId="35" xfId="0" applyNumberFormat="1" applyFont="1" applyFill="1" applyBorder="1" applyAlignment="1" applyProtection="1">
      <alignment horizontal="center"/>
      <protection locked="0"/>
    </xf>
    <xf numFmtId="167" fontId="1" fillId="0" borderId="29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 applyProtection="1">
      <alignment horizontal="center"/>
      <protection locked="0"/>
    </xf>
    <xf numFmtId="170" fontId="4" fillId="0" borderId="29" xfId="0" applyNumberFormat="1" applyFont="1" applyBorder="1" applyAlignment="1" applyProtection="1">
      <alignment horizontal="center"/>
      <protection locked="0"/>
    </xf>
    <xf numFmtId="170" fontId="4" fillId="0" borderId="35" xfId="0" applyNumberFormat="1" applyFont="1" applyBorder="1" applyAlignment="1" applyProtection="1">
      <alignment horizontal="center"/>
      <protection locked="0"/>
    </xf>
    <xf numFmtId="0" fontId="13" fillId="0" borderId="118" xfId="0" applyFont="1" applyBorder="1" applyAlignment="1">
      <alignment horizontal="left"/>
    </xf>
    <xf numFmtId="2" fontId="3" fillId="0" borderId="29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locked="0"/>
    </xf>
    <xf numFmtId="4" fontId="4" fillId="37" borderId="29" xfId="0" applyNumberFormat="1" applyFont="1" applyFill="1" applyBorder="1" applyAlignment="1" applyProtection="1">
      <alignment horizontal="center"/>
      <protection locked="0"/>
    </xf>
    <xf numFmtId="4" fontId="4" fillId="37" borderId="35" xfId="0" applyNumberFormat="1" applyFont="1" applyFill="1" applyBorder="1" applyAlignment="1" applyProtection="1">
      <alignment horizontal="center"/>
      <protection locked="0"/>
    </xf>
    <xf numFmtId="0" fontId="10" fillId="0" borderId="118" xfId="0" applyFont="1" applyBorder="1" applyAlignment="1">
      <alignment horizontal="left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32" fillId="37" borderId="30" xfId="0" applyFont="1" applyFill="1" applyBorder="1" applyAlignment="1">
      <alignment horizontal="center"/>
    </xf>
    <xf numFmtId="0" fontId="32" fillId="37" borderId="3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9" fontId="4" fillId="0" borderId="30" xfId="0" applyNumberFormat="1" applyFont="1" applyBorder="1" applyAlignment="1">
      <alignment horizontal="center"/>
    </xf>
    <xf numFmtId="179" fontId="4" fillId="0" borderId="37" xfId="0" applyNumberFormat="1" applyFont="1" applyBorder="1" applyAlignment="1">
      <alignment horizontal="center"/>
    </xf>
    <xf numFmtId="179" fontId="4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9" fontId="1" fillId="0" borderId="2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75" fontId="4" fillId="0" borderId="37" xfId="0" applyNumberFormat="1" applyFont="1" applyBorder="1" applyAlignment="1">
      <alignment horizontal="center"/>
    </xf>
    <xf numFmtId="175" fontId="4" fillId="0" borderId="3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9" fontId="4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30" fillId="0" borderId="23" xfId="0" applyNumberFormat="1" applyFont="1" applyBorder="1" applyAlignment="1">
      <alignment horizontal="center"/>
    </xf>
    <xf numFmtId="179" fontId="30" fillId="0" borderId="2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92" xfId="57" applyFont="1" applyBorder="1" applyAlignment="1">
      <alignment horizontal="center"/>
      <protection/>
    </xf>
    <xf numFmtId="0" fontId="3" fillId="0" borderId="85" xfId="57" applyFont="1" applyBorder="1" applyAlignment="1">
      <alignment horizontal="center"/>
      <protection/>
    </xf>
    <xf numFmtId="0" fontId="3" fillId="0" borderId="111" xfId="57" applyFont="1" applyBorder="1" applyAlignment="1">
      <alignment horizontal="center"/>
      <protection/>
    </xf>
    <xf numFmtId="0" fontId="3" fillId="0" borderId="119" xfId="57" applyFont="1" applyBorder="1" applyAlignment="1">
      <alignment horizontal="center"/>
      <protection/>
    </xf>
    <xf numFmtId="0" fontId="3" fillId="0" borderId="120" xfId="57" applyFont="1" applyBorder="1" applyAlignment="1">
      <alignment horizontal="center"/>
      <protection/>
    </xf>
    <xf numFmtId="0" fontId="3" fillId="0" borderId="121" xfId="57" applyFont="1" applyBorder="1" applyAlignment="1">
      <alignment horizontal="center"/>
      <protection/>
    </xf>
    <xf numFmtId="0" fontId="3" fillId="0" borderId="88" xfId="57" applyFont="1" applyBorder="1" applyAlignment="1">
      <alignment horizontal="center"/>
      <protection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11" xfId="0" applyBorder="1" applyAlignment="1">
      <alignment horizontal="center"/>
    </xf>
    <xf numFmtId="0" fontId="4" fillId="0" borderId="82" xfId="57" applyFont="1" applyBorder="1" applyAlignment="1">
      <alignment horizontal="center"/>
      <protection/>
    </xf>
    <xf numFmtId="0" fontId="4" fillId="0" borderId="37" xfId="57" applyFont="1" applyBorder="1" applyAlignment="1">
      <alignment horizontal="center"/>
      <protection/>
    </xf>
    <xf numFmtId="0" fontId="4" fillId="0" borderId="122" xfId="57" applyFont="1" applyBorder="1" applyAlignment="1">
      <alignment horizontal="center"/>
      <protection/>
    </xf>
    <xf numFmtId="18" fontId="4" fillId="36" borderId="123" xfId="57" applyNumberFormat="1" applyFont="1" applyFill="1" applyBorder="1" applyAlignment="1" applyProtection="1">
      <alignment horizontal="center"/>
      <protection locked="0"/>
    </xf>
    <xf numFmtId="18" fontId="4" fillId="36" borderId="122" xfId="57" applyNumberFormat="1" applyFont="1" applyFill="1" applyBorder="1" applyAlignment="1" applyProtection="1">
      <alignment horizontal="center"/>
      <protection locked="0"/>
    </xf>
    <xf numFmtId="0" fontId="4" fillId="36" borderId="123" xfId="57" applyFont="1" applyFill="1" applyBorder="1" applyAlignment="1" applyProtection="1">
      <alignment horizontal="center"/>
      <protection locked="0"/>
    </xf>
    <xf numFmtId="0" fontId="4" fillId="36" borderId="122" xfId="57" applyFont="1" applyFill="1" applyBorder="1" applyAlignment="1" applyProtection="1">
      <alignment horizontal="center"/>
      <protection locked="0"/>
    </xf>
    <xf numFmtId="176" fontId="4" fillId="36" borderId="123" xfId="57" applyNumberFormat="1" applyFont="1" applyFill="1" applyBorder="1" applyAlignment="1" applyProtection="1">
      <alignment horizontal="center"/>
      <protection locked="0"/>
    </xf>
    <xf numFmtId="176" fontId="4" fillId="36" borderId="122" xfId="57" applyNumberFormat="1" applyFont="1" applyFill="1" applyBorder="1" applyAlignment="1" applyProtection="1">
      <alignment horizontal="center"/>
      <protection locked="0"/>
    </xf>
    <xf numFmtId="0" fontId="3" fillId="37" borderId="23" xfId="57" applyFont="1" applyFill="1" applyBorder="1" applyAlignment="1">
      <alignment horizontal="center"/>
      <protection/>
    </xf>
    <xf numFmtId="14" fontId="4" fillId="36" borderId="124" xfId="57" applyNumberFormat="1" applyFont="1" applyFill="1" applyBorder="1" applyAlignment="1" applyProtection="1">
      <alignment horizontal="center"/>
      <protection locked="0"/>
    </xf>
    <xf numFmtId="14" fontId="4" fillId="36" borderId="125" xfId="57" applyNumberFormat="1" applyFont="1" applyFill="1" applyBorder="1" applyAlignment="1" applyProtection="1">
      <alignment horizontal="center"/>
      <protection locked="0"/>
    </xf>
    <xf numFmtId="0" fontId="4" fillId="0" borderId="126" xfId="57" applyFont="1" applyBorder="1" applyAlignment="1">
      <alignment horizontal="center"/>
      <protection/>
    </xf>
    <xf numFmtId="0" fontId="4" fillId="0" borderId="114" xfId="57" applyFont="1" applyBorder="1" applyAlignment="1">
      <alignment horizontal="center"/>
      <protection/>
    </xf>
    <xf numFmtId="0" fontId="4" fillId="0" borderId="83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164" fontId="6" fillId="0" borderId="108" xfId="57" applyNumberFormat="1" applyBorder="1" applyAlignment="1">
      <alignment horizontal="center"/>
      <protection/>
    </xf>
    <xf numFmtId="0" fontId="6" fillId="0" borderId="110" xfId="57" applyBorder="1" applyAlignment="1">
      <alignment horizontal="center"/>
      <protection/>
    </xf>
    <xf numFmtId="0" fontId="6" fillId="0" borderId="92" xfId="57" applyBorder="1" applyAlignment="1">
      <alignment horizontal="center"/>
      <protection/>
    </xf>
    <xf numFmtId="0" fontId="6" fillId="0" borderId="111" xfId="57" applyBorder="1" applyAlignment="1">
      <alignment horizontal="center"/>
      <protection/>
    </xf>
    <xf numFmtId="0" fontId="6" fillId="0" borderId="127" xfId="57" applyBorder="1" applyAlignment="1">
      <alignment horizontal="center"/>
      <protection/>
    </xf>
    <xf numFmtId="0" fontId="6" fillId="0" borderId="20" xfId="57" applyBorder="1" applyAlignment="1">
      <alignment horizontal="center"/>
      <protection/>
    </xf>
    <xf numFmtId="0" fontId="6" fillId="0" borderId="128" xfId="57" applyBorder="1" applyAlignment="1">
      <alignment horizontal="center"/>
      <protection/>
    </xf>
    <xf numFmtId="0" fontId="6" fillId="0" borderId="21" xfId="57" applyBorder="1" applyAlignment="1">
      <alignment horizontal="center"/>
      <protection/>
    </xf>
    <xf numFmtId="0" fontId="4" fillId="37" borderId="23" xfId="0" applyFont="1" applyFill="1" applyBorder="1" applyAlignment="1">
      <alignment horizontal="center"/>
    </xf>
    <xf numFmtId="0" fontId="4" fillId="37" borderId="23" xfId="57" applyFont="1" applyFill="1" applyBorder="1" applyAlignment="1">
      <alignment horizontal="center"/>
      <protection/>
    </xf>
    <xf numFmtId="0" fontId="0" fillId="37" borderId="23" xfId="0" applyFill="1" applyBorder="1" applyAlignment="1">
      <alignment horizontal="center"/>
    </xf>
    <xf numFmtId="0" fontId="3" fillId="37" borderId="92" xfId="0" applyFont="1" applyFill="1" applyBorder="1" applyAlignment="1">
      <alignment horizontal="center"/>
    </xf>
    <xf numFmtId="0" fontId="3" fillId="37" borderId="85" xfId="0" applyFont="1" applyFill="1" applyBorder="1" applyAlignment="1">
      <alignment horizontal="center"/>
    </xf>
    <xf numFmtId="0" fontId="3" fillId="37" borderId="91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7" borderId="91" xfId="0" applyFont="1" applyFill="1" applyBorder="1" applyAlignment="1">
      <alignment horizontal="center"/>
    </xf>
    <xf numFmtId="0" fontId="4" fillId="37" borderId="90" xfId="0" applyFont="1" applyFill="1" applyBorder="1" applyAlignment="1">
      <alignment horizontal="center"/>
    </xf>
    <xf numFmtId="0" fontId="6" fillId="37" borderId="42" xfId="57" applyFill="1" applyBorder="1" applyAlignment="1">
      <alignment horizontal="center"/>
      <protection/>
    </xf>
    <xf numFmtId="0" fontId="6" fillId="37" borderId="90" xfId="57" applyFill="1" applyBorder="1" applyAlignment="1">
      <alignment horizontal="center"/>
      <protection/>
    </xf>
    <xf numFmtId="0" fontId="6" fillId="37" borderId="91" xfId="57" applyFill="1" applyBorder="1" applyAlignment="1">
      <alignment horizontal="center"/>
      <protection/>
    </xf>
    <xf numFmtId="0" fontId="4" fillId="37" borderId="18" xfId="0" applyFont="1" applyFill="1" applyBorder="1" applyAlignment="1">
      <alignment horizontal="center"/>
    </xf>
    <xf numFmtId="1" fontId="4" fillId="37" borderId="42" xfId="0" applyNumberFormat="1" applyFont="1" applyFill="1" applyBorder="1" applyAlignment="1">
      <alignment horizontal="center"/>
    </xf>
    <xf numFmtId="1" fontId="4" fillId="37" borderId="91" xfId="0" applyNumberFormat="1" applyFont="1" applyFill="1" applyBorder="1" applyAlignment="1">
      <alignment horizontal="center"/>
    </xf>
    <xf numFmtId="164" fontId="4" fillId="37" borderId="42" xfId="0" applyNumberFormat="1" applyFont="1" applyFill="1" applyBorder="1" applyAlignment="1">
      <alignment horizontal="center"/>
    </xf>
    <xf numFmtId="164" fontId="4" fillId="37" borderId="90" xfId="0" applyNumberFormat="1" applyFont="1" applyFill="1" applyBorder="1" applyAlignment="1">
      <alignment horizontal="center"/>
    </xf>
    <xf numFmtId="164" fontId="4" fillId="37" borderId="91" xfId="0" applyNumberFormat="1" applyFont="1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90" xfId="0" applyFill="1" applyBorder="1" applyAlignment="1">
      <alignment horizontal="center"/>
    </xf>
    <xf numFmtId="0" fontId="0" fillId="37" borderId="91" xfId="0" applyFill="1" applyBorder="1" applyAlignment="1">
      <alignment horizontal="center"/>
    </xf>
    <xf numFmtId="0" fontId="19" fillId="37" borderId="88" xfId="57" applyFont="1" applyFill="1" applyBorder="1" applyAlignment="1">
      <alignment horizontal="center"/>
      <protection/>
    </xf>
    <xf numFmtId="0" fontId="19" fillId="37" borderId="81" xfId="57" applyFont="1" applyFill="1" applyBorder="1" applyAlignment="1">
      <alignment horizontal="center"/>
      <protection/>
    </xf>
    <xf numFmtId="0" fontId="3" fillId="37" borderId="42" xfId="0" applyFont="1" applyFill="1" applyBorder="1" applyAlignment="1">
      <alignment horizontal="center"/>
    </xf>
    <xf numFmtId="0" fontId="3" fillId="37" borderId="90" xfId="0" applyFont="1" applyFill="1" applyBorder="1" applyAlignment="1">
      <alignment horizontal="center"/>
    </xf>
    <xf numFmtId="0" fontId="4" fillId="37" borderId="42" xfId="57" applyFont="1" applyFill="1" applyBorder="1" applyAlignment="1">
      <alignment horizontal="center"/>
      <protection/>
    </xf>
    <xf numFmtId="0" fontId="4" fillId="37" borderId="90" xfId="57" applyFont="1" applyFill="1" applyBorder="1" applyAlignment="1">
      <alignment horizontal="center"/>
      <protection/>
    </xf>
    <xf numFmtId="0" fontId="4" fillId="37" borderId="91" xfId="57" applyFont="1" applyFill="1" applyBorder="1" applyAlignment="1">
      <alignment horizontal="center"/>
      <protection/>
    </xf>
    <xf numFmtId="0" fontId="4" fillId="37" borderId="68" xfId="57" applyFont="1" applyFill="1" applyBorder="1" applyAlignment="1">
      <alignment horizontal="center"/>
      <protection/>
    </xf>
    <xf numFmtId="0" fontId="3" fillId="37" borderId="92" xfId="57" applyFont="1" applyFill="1" applyBorder="1" applyAlignment="1">
      <alignment horizontal="center"/>
      <protection/>
    </xf>
    <xf numFmtId="0" fontId="3" fillId="37" borderId="85" xfId="57" applyFont="1" applyFill="1" applyBorder="1" applyAlignment="1">
      <alignment horizontal="center"/>
      <protection/>
    </xf>
    <xf numFmtId="0" fontId="3" fillId="37" borderId="111" xfId="57" applyFont="1" applyFill="1" applyBorder="1" applyAlignment="1">
      <alignment horizontal="center"/>
      <protection/>
    </xf>
    <xf numFmtId="0" fontId="1" fillId="37" borderId="23" xfId="0" applyFont="1" applyFill="1" applyBorder="1" applyAlignment="1">
      <alignment horizontal="center"/>
    </xf>
    <xf numFmtId="3" fontId="4" fillId="37" borderId="23" xfId="57" applyNumberFormat="1" applyFont="1" applyFill="1" applyBorder="1" applyAlignment="1">
      <alignment horizontal="center"/>
      <protection/>
    </xf>
    <xf numFmtId="0" fontId="20" fillId="0" borderId="129" xfId="57" applyFont="1" applyBorder="1" applyAlignment="1">
      <alignment horizontal="center"/>
      <protection/>
    </xf>
    <xf numFmtId="0" fontId="20" fillId="0" borderId="93" xfId="57" applyFont="1" applyBorder="1" applyAlignment="1">
      <alignment horizontal="center"/>
      <protection/>
    </xf>
    <xf numFmtId="0" fontId="6" fillId="37" borderId="23" xfId="57" applyFill="1" applyBorder="1" applyAlignment="1">
      <alignment horizontal="center"/>
      <protection/>
    </xf>
    <xf numFmtId="0" fontId="0" fillId="37" borderId="109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Flow Comparison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8075"/>
          <c:w val="0.908"/>
          <c:h val="0.585"/>
        </c:manualLayout>
      </c:layout>
      <c:lineChart>
        <c:grouping val="standard"/>
        <c:varyColors val="0"/>
        <c:ser>
          <c:idx val="0"/>
          <c:order val="0"/>
          <c:tx>
            <c:v>Inf.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State1!$C$8:$C$38</c:f>
              <c:numCache>
                <c:ptCount val="31"/>
                <c:pt idx="0">
                  <c:v>0.215</c:v>
                </c:pt>
                <c:pt idx="1">
                  <c:v>0.23</c:v>
                </c:pt>
                <c:pt idx="2">
                  <c:v>0.265</c:v>
                </c:pt>
                <c:pt idx="3">
                  <c:v>0.211</c:v>
                </c:pt>
                <c:pt idx="4">
                  <c:v>0.215</c:v>
                </c:pt>
                <c:pt idx="5">
                  <c:v>0.196</c:v>
                </c:pt>
                <c:pt idx="6">
                  <c:v>0.194</c:v>
                </c:pt>
                <c:pt idx="7">
                  <c:v>0.187</c:v>
                </c:pt>
                <c:pt idx="8">
                  <c:v>0.221</c:v>
                </c:pt>
                <c:pt idx="9">
                  <c:v>0.236</c:v>
                </c:pt>
                <c:pt idx="10">
                  <c:v>0.43</c:v>
                </c:pt>
                <c:pt idx="11">
                  <c:v>0.376</c:v>
                </c:pt>
                <c:pt idx="12">
                  <c:v>0.27</c:v>
                </c:pt>
                <c:pt idx="13">
                  <c:v>0.249</c:v>
                </c:pt>
                <c:pt idx="14">
                  <c:v>0.247</c:v>
                </c:pt>
                <c:pt idx="15">
                  <c:v>0.185</c:v>
                </c:pt>
                <c:pt idx="16">
                  <c:v>0.209</c:v>
                </c:pt>
                <c:pt idx="17">
                  <c:v>0.218</c:v>
                </c:pt>
                <c:pt idx="18">
                  <c:v>0.219</c:v>
                </c:pt>
                <c:pt idx="19">
                  <c:v>0.205</c:v>
                </c:pt>
                <c:pt idx="20">
                  <c:v>0.199</c:v>
                </c:pt>
                <c:pt idx="21">
                  <c:v>0.193</c:v>
                </c:pt>
                <c:pt idx="22">
                  <c:v>0.205</c:v>
                </c:pt>
                <c:pt idx="23">
                  <c:v>0.207</c:v>
                </c:pt>
                <c:pt idx="24">
                  <c:v>0.201</c:v>
                </c:pt>
                <c:pt idx="25">
                  <c:v>0.219</c:v>
                </c:pt>
                <c:pt idx="26">
                  <c:v>0.19</c:v>
                </c:pt>
                <c:pt idx="27">
                  <c:v>0.195</c:v>
                </c:pt>
                <c:pt idx="28">
                  <c:v>0.191</c:v>
                </c:pt>
                <c:pt idx="29">
                  <c:v>0.215</c:v>
                </c:pt>
                <c:pt idx="30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v>Eff. Flow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State1!$D$8:$D$38</c:f>
              <c:numCache>
                <c:ptCount val="31"/>
                <c:pt idx="0">
                  <c:v>0.228</c:v>
                </c:pt>
                <c:pt idx="1">
                  <c:v>0.223</c:v>
                </c:pt>
                <c:pt idx="2">
                  <c:v>0.256</c:v>
                </c:pt>
                <c:pt idx="3">
                  <c:v>0.224</c:v>
                </c:pt>
                <c:pt idx="4">
                  <c:v>0.217</c:v>
                </c:pt>
                <c:pt idx="5">
                  <c:v>0.214</c:v>
                </c:pt>
                <c:pt idx="6">
                  <c:v>0.203</c:v>
                </c:pt>
                <c:pt idx="7">
                  <c:v>0.214</c:v>
                </c:pt>
                <c:pt idx="8">
                  <c:v>0.226</c:v>
                </c:pt>
                <c:pt idx="9">
                  <c:v>0.235</c:v>
                </c:pt>
                <c:pt idx="10">
                  <c:v>0.372</c:v>
                </c:pt>
                <c:pt idx="11">
                  <c:v>0.337</c:v>
                </c:pt>
                <c:pt idx="12">
                  <c:v>0.256</c:v>
                </c:pt>
                <c:pt idx="13">
                  <c:v>0.25</c:v>
                </c:pt>
                <c:pt idx="14">
                  <c:v>0.254</c:v>
                </c:pt>
                <c:pt idx="15">
                  <c:v>0.24</c:v>
                </c:pt>
                <c:pt idx="16">
                  <c:v>0.255</c:v>
                </c:pt>
                <c:pt idx="17">
                  <c:v>0.25</c:v>
                </c:pt>
                <c:pt idx="18">
                  <c:v>0.233</c:v>
                </c:pt>
                <c:pt idx="19">
                  <c:v>0.218</c:v>
                </c:pt>
                <c:pt idx="20">
                  <c:v>0.211</c:v>
                </c:pt>
                <c:pt idx="21">
                  <c:v>0.207</c:v>
                </c:pt>
                <c:pt idx="22">
                  <c:v>0.101</c:v>
                </c:pt>
                <c:pt idx="23">
                  <c:v>0.199</c:v>
                </c:pt>
                <c:pt idx="24">
                  <c:v>0.202</c:v>
                </c:pt>
                <c:pt idx="25">
                  <c:v>0.206</c:v>
                </c:pt>
                <c:pt idx="26">
                  <c:v>0.188</c:v>
                </c:pt>
                <c:pt idx="27">
                  <c:v>0.199</c:v>
                </c:pt>
                <c:pt idx="28">
                  <c:v>0.2</c:v>
                </c:pt>
                <c:pt idx="29">
                  <c:v>0.209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64177245"/>
        <c:axId val="40724294"/>
      </c:lineChart>
      <c:catAx>
        <c:axId val="6417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At val="0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gal/day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425"/>
            </c:manualLayout>
          </c:layout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125"/>
          <c:y val="0.166"/>
          <c:w val="0.553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Chemical Usage Comparison</a:t>
            </a:r>
          </a:p>
        </c:rich>
      </c:tx>
      <c:layout>
        <c:manualLayout>
          <c:xMode val="factor"/>
          <c:yMode val="factor"/>
          <c:x val="0.074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3045"/>
          <c:w val="0.94075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tx>
            <c:v>Cl2 Usage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State1!$AC$8:$AC$38</c:f>
              <c:numCache>
                <c:ptCount val="31"/>
                <c:pt idx="0">
                  <c:v>21.9</c:v>
                </c:pt>
                <c:pt idx="1">
                  <c:v>23.4</c:v>
                </c:pt>
                <c:pt idx="2">
                  <c:v>21.1</c:v>
                </c:pt>
                <c:pt idx="3">
                  <c:v>34.3</c:v>
                </c:pt>
                <c:pt idx="4">
                  <c:v>21.1</c:v>
                </c:pt>
                <c:pt idx="5">
                  <c:v>17.2</c:v>
                </c:pt>
                <c:pt idx="6">
                  <c:v>16.4</c:v>
                </c:pt>
                <c:pt idx="7">
                  <c:v>16.4</c:v>
                </c:pt>
                <c:pt idx="8">
                  <c:v>12.5</c:v>
                </c:pt>
                <c:pt idx="9">
                  <c:v>18</c:v>
                </c:pt>
                <c:pt idx="10">
                  <c:v>16.4</c:v>
                </c:pt>
                <c:pt idx="11">
                  <c:v>18</c:v>
                </c:pt>
                <c:pt idx="12">
                  <c:v>15.6</c:v>
                </c:pt>
                <c:pt idx="13">
                  <c:v>19.5</c:v>
                </c:pt>
                <c:pt idx="14">
                  <c:v>14.6</c:v>
                </c:pt>
                <c:pt idx="15">
                  <c:v>15.8</c:v>
                </c:pt>
                <c:pt idx="16">
                  <c:v>16.8</c:v>
                </c:pt>
                <c:pt idx="17">
                  <c:v>16.4</c:v>
                </c:pt>
                <c:pt idx="18">
                  <c:v>16</c:v>
                </c:pt>
                <c:pt idx="19">
                  <c:v>17.2</c:v>
                </c:pt>
                <c:pt idx="20">
                  <c:v>17</c:v>
                </c:pt>
                <c:pt idx="21">
                  <c:v>12.3</c:v>
                </c:pt>
                <c:pt idx="22">
                  <c:v>14.5</c:v>
                </c:pt>
                <c:pt idx="23">
                  <c:v>13.3</c:v>
                </c:pt>
                <c:pt idx="24">
                  <c:v>12.1</c:v>
                </c:pt>
                <c:pt idx="25">
                  <c:v>13.7</c:v>
                </c:pt>
                <c:pt idx="26">
                  <c:v>13.3</c:v>
                </c:pt>
                <c:pt idx="27">
                  <c:v>12.5</c:v>
                </c:pt>
                <c:pt idx="28">
                  <c:v>16.4</c:v>
                </c:pt>
                <c:pt idx="29">
                  <c:v>9.4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SO2 Usage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State1!$AD$8:$AD$38</c:f>
              <c:numCache>
                <c:ptCount val="31"/>
                <c:pt idx="0">
                  <c:v>7.8</c:v>
                </c:pt>
                <c:pt idx="1">
                  <c:v>7.8</c:v>
                </c:pt>
                <c:pt idx="2">
                  <c:v>7.8</c:v>
                </c:pt>
                <c:pt idx="3">
                  <c:v>7.8</c:v>
                </c:pt>
                <c:pt idx="4">
                  <c:v>7.8</c:v>
                </c:pt>
                <c:pt idx="5">
                  <c:v>7.8</c:v>
                </c:pt>
                <c:pt idx="6">
                  <c:v>7.8</c:v>
                </c:pt>
                <c:pt idx="7">
                  <c:v>7.8</c:v>
                </c:pt>
                <c:pt idx="8">
                  <c:v>7.8</c:v>
                </c:pt>
                <c:pt idx="9">
                  <c:v>7.8</c:v>
                </c:pt>
                <c:pt idx="10">
                  <c:v>7.8</c:v>
                </c:pt>
                <c:pt idx="11">
                  <c:v>7.8</c:v>
                </c:pt>
                <c:pt idx="12">
                  <c:v>7.8</c:v>
                </c:pt>
                <c:pt idx="13">
                  <c:v>7.8</c:v>
                </c:pt>
                <c:pt idx="14">
                  <c:v>7.8</c:v>
                </c:pt>
                <c:pt idx="15">
                  <c:v>7.8</c:v>
                </c:pt>
                <c:pt idx="16">
                  <c:v>7.8</c:v>
                </c:pt>
                <c:pt idx="17">
                  <c:v>7.8</c:v>
                </c:pt>
                <c:pt idx="18">
                  <c:v>7.8</c:v>
                </c:pt>
                <c:pt idx="19">
                  <c:v>7.8</c:v>
                </c:pt>
                <c:pt idx="20">
                  <c:v>7.8</c:v>
                </c:pt>
                <c:pt idx="21">
                  <c:v>7.8</c:v>
                </c:pt>
                <c:pt idx="22">
                  <c:v>7.8</c:v>
                </c:pt>
                <c:pt idx="23">
                  <c:v>7.8</c:v>
                </c:pt>
                <c:pt idx="24">
                  <c:v>7.8</c:v>
                </c:pt>
                <c:pt idx="25">
                  <c:v>7.8</c:v>
                </c:pt>
                <c:pt idx="26">
                  <c:v>7.8</c:v>
                </c:pt>
                <c:pt idx="27">
                  <c:v>7.8</c:v>
                </c:pt>
                <c:pt idx="28">
                  <c:v>7.8</c:v>
                </c:pt>
                <c:pt idx="29">
                  <c:v>7.8</c:v>
                </c:pt>
                <c:pt idx="30">
                  <c:v>0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lbs/day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4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25"/>
          <c:y val="0.166"/>
          <c:w val="0.2212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Aeration Settable Solids</a:t>
            </a:r>
          </a:p>
        </c:rich>
      </c:tx>
      <c:layout>
        <c:manualLayout>
          <c:xMode val="factor"/>
          <c:yMode val="factor"/>
          <c:x val="0.075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7025"/>
          <c:w val="0.94025"/>
          <c:h val="0.5745"/>
        </c:manualLayout>
      </c:layout>
      <c:barChart>
        <c:barDir val="col"/>
        <c:grouping val="clustered"/>
        <c:varyColors val="0"/>
        <c:ser>
          <c:idx val="0"/>
          <c:order val="0"/>
          <c:tx>
            <c:v>Basin 1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Aeration!$D$7:$D$37</c:f>
              <c:numCache>
                <c:ptCount val="31"/>
                <c:pt idx="0">
                  <c:v>900</c:v>
                </c:pt>
                <c:pt idx="1">
                  <c:v>895</c:v>
                </c:pt>
                <c:pt idx="2">
                  <c:v>890</c:v>
                </c:pt>
                <c:pt idx="3">
                  <c:v>850</c:v>
                </c:pt>
                <c:pt idx="4">
                  <c:v>900</c:v>
                </c:pt>
                <c:pt idx="5">
                  <c:v>900</c:v>
                </c:pt>
                <c:pt idx="6">
                  <c:v>870</c:v>
                </c:pt>
                <c:pt idx="7">
                  <c:v>950</c:v>
                </c:pt>
                <c:pt idx="8">
                  <c:v>910</c:v>
                </c:pt>
                <c:pt idx="9">
                  <c:v>900</c:v>
                </c:pt>
                <c:pt idx="10">
                  <c:v>920</c:v>
                </c:pt>
                <c:pt idx="11">
                  <c:v>850</c:v>
                </c:pt>
                <c:pt idx="12">
                  <c:v>850</c:v>
                </c:pt>
                <c:pt idx="13">
                  <c:v>790</c:v>
                </c:pt>
                <c:pt idx="14">
                  <c:v>810</c:v>
                </c:pt>
                <c:pt idx="15">
                  <c:v>820</c:v>
                </c:pt>
                <c:pt idx="16">
                  <c:v>840</c:v>
                </c:pt>
                <c:pt idx="17">
                  <c:v>900</c:v>
                </c:pt>
                <c:pt idx="18">
                  <c:v>910</c:v>
                </c:pt>
                <c:pt idx="19">
                  <c:v>880</c:v>
                </c:pt>
                <c:pt idx="20">
                  <c:v>900</c:v>
                </c:pt>
                <c:pt idx="21">
                  <c:v>930</c:v>
                </c:pt>
                <c:pt idx="22">
                  <c:v>980</c:v>
                </c:pt>
                <c:pt idx="23">
                  <c:v>880</c:v>
                </c:pt>
                <c:pt idx="24">
                  <c:v>800</c:v>
                </c:pt>
                <c:pt idx="25">
                  <c:v>850</c:v>
                </c:pt>
                <c:pt idx="26">
                  <c:v>800</c:v>
                </c:pt>
                <c:pt idx="27">
                  <c:v>790</c:v>
                </c:pt>
                <c:pt idx="28">
                  <c:v>830</c:v>
                </c:pt>
                <c:pt idx="29">
                  <c:v>880</c:v>
                </c:pt>
              </c:numCache>
            </c:numRef>
          </c:val>
        </c:ser>
        <c:ser>
          <c:idx val="1"/>
          <c:order val="1"/>
          <c:tx>
            <c:v>Basin 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Aeration!$M$7:$M$37</c:f>
              <c:numCache>
                <c:ptCount val="31"/>
                <c:pt idx="0">
                  <c:v>890</c:v>
                </c:pt>
                <c:pt idx="1">
                  <c:v>930</c:v>
                </c:pt>
                <c:pt idx="2">
                  <c:v>900</c:v>
                </c:pt>
                <c:pt idx="3">
                  <c:v>870</c:v>
                </c:pt>
                <c:pt idx="4">
                  <c:v>930</c:v>
                </c:pt>
                <c:pt idx="5">
                  <c:v>880</c:v>
                </c:pt>
                <c:pt idx="6">
                  <c:v>890</c:v>
                </c:pt>
                <c:pt idx="7">
                  <c:v>930</c:v>
                </c:pt>
                <c:pt idx="8">
                  <c:v>930</c:v>
                </c:pt>
                <c:pt idx="9">
                  <c:v>920</c:v>
                </c:pt>
                <c:pt idx="10">
                  <c:v>930</c:v>
                </c:pt>
                <c:pt idx="11">
                  <c:v>870</c:v>
                </c:pt>
                <c:pt idx="12">
                  <c:v>870</c:v>
                </c:pt>
                <c:pt idx="13">
                  <c:v>830</c:v>
                </c:pt>
                <c:pt idx="14">
                  <c:v>860</c:v>
                </c:pt>
                <c:pt idx="15">
                  <c:v>870</c:v>
                </c:pt>
                <c:pt idx="16">
                  <c:v>850</c:v>
                </c:pt>
                <c:pt idx="17">
                  <c:v>870</c:v>
                </c:pt>
                <c:pt idx="18">
                  <c:v>890</c:v>
                </c:pt>
                <c:pt idx="19">
                  <c:v>900</c:v>
                </c:pt>
                <c:pt idx="20">
                  <c:v>900</c:v>
                </c:pt>
                <c:pt idx="21">
                  <c:v>940</c:v>
                </c:pt>
                <c:pt idx="22">
                  <c:v>960</c:v>
                </c:pt>
                <c:pt idx="23">
                  <c:v>820</c:v>
                </c:pt>
                <c:pt idx="24">
                  <c:v>850</c:v>
                </c:pt>
                <c:pt idx="25">
                  <c:v>830</c:v>
                </c:pt>
                <c:pt idx="26">
                  <c:v>810</c:v>
                </c:pt>
                <c:pt idx="27">
                  <c:v>810</c:v>
                </c:pt>
                <c:pt idx="28">
                  <c:v>880</c:v>
                </c:pt>
                <c:pt idx="29">
                  <c:v>860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30 Min Set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"/>
          <c:y val="0.1565"/>
          <c:w val="0.189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BOD Comparison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075"/>
          <c:w val="0.93925"/>
          <c:h val="0.56125"/>
        </c:manualLayout>
      </c:layout>
      <c:barChart>
        <c:barDir val="col"/>
        <c:grouping val="clustered"/>
        <c:varyColors val="0"/>
        <c:ser>
          <c:idx val="0"/>
          <c:order val="0"/>
          <c:tx>
            <c:v>Inf. Bod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State1!$H$8:$H$38</c:f>
              <c:numCache>
                <c:ptCount val="31"/>
                <c:pt idx="0">
                  <c:v>271.3</c:v>
                </c:pt>
                <c:pt idx="1">
                  <c:v>242.3</c:v>
                </c:pt>
                <c:pt idx="2">
                  <c:v>146.4</c:v>
                </c:pt>
                <c:pt idx="6">
                  <c:v>343.9</c:v>
                </c:pt>
                <c:pt idx="7">
                  <c:v>259.3</c:v>
                </c:pt>
                <c:pt idx="8">
                  <c:v>234.6</c:v>
                </c:pt>
                <c:pt idx="14">
                  <c:v>229.6</c:v>
                </c:pt>
                <c:pt idx="15">
                  <c:v>243.5</c:v>
                </c:pt>
                <c:pt idx="16">
                  <c:v>295.02</c:v>
                </c:pt>
                <c:pt idx="20">
                  <c:v>275.04</c:v>
                </c:pt>
                <c:pt idx="21">
                  <c:v>332.9</c:v>
                </c:pt>
                <c:pt idx="22">
                  <c:v>347.6</c:v>
                </c:pt>
                <c:pt idx="27">
                  <c:v>356.5</c:v>
                </c:pt>
                <c:pt idx="28">
                  <c:v>277.3</c:v>
                </c:pt>
                <c:pt idx="29">
                  <c:v>321.1</c:v>
                </c:pt>
              </c:numCache>
            </c:numRef>
          </c:val>
        </c:ser>
        <c:ser>
          <c:idx val="3"/>
          <c:order val="1"/>
          <c:tx>
            <c:v>Final Eff BOD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State1!$I$8:$I$38</c:f>
              <c:numCache>
                <c:ptCount val="31"/>
                <c:pt idx="0">
                  <c:v>4.5</c:v>
                </c:pt>
                <c:pt idx="1">
                  <c:v>4.8</c:v>
                </c:pt>
                <c:pt idx="2">
                  <c:v>6.5</c:v>
                </c:pt>
                <c:pt idx="6">
                  <c:v>5.15</c:v>
                </c:pt>
                <c:pt idx="7">
                  <c:v>5.9</c:v>
                </c:pt>
                <c:pt idx="8">
                  <c:v>6.1</c:v>
                </c:pt>
                <c:pt idx="14">
                  <c:v>4.4</c:v>
                </c:pt>
                <c:pt idx="15">
                  <c:v>6.6</c:v>
                </c:pt>
                <c:pt idx="16">
                  <c:v>4.9</c:v>
                </c:pt>
                <c:pt idx="20">
                  <c:v>4.4</c:v>
                </c:pt>
                <c:pt idx="21">
                  <c:v>5</c:v>
                </c:pt>
                <c:pt idx="22">
                  <c:v>6.5</c:v>
                </c:pt>
                <c:pt idx="27">
                  <c:v>3.6</c:v>
                </c:pt>
                <c:pt idx="28">
                  <c:v>2.9</c:v>
                </c:pt>
                <c:pt idx="29">
                  <c:v>1.5</c:v>
                </c:pt>
              </c:numCache>
            </c:numRef>
          </c:val>
        </c:ser>
        <c:axId val="30974327"/>
        <c:axId val="10333488"/>
      </c:barChart>
      <c:cat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8"/>
              <c:y val="0.02"/>
            </c:manualLayout>
          </c:layout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1"/>
          <c:y val="0.166"/>
          <c:w val="0.2122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TSS Comparison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715"/>
          <c:w val="0.9405"/>
          <c:h val="0.5965"/>
        </c:manualLayout>
      </c:layout>
      <c:barChart>
        <c:barDir val="col"/>
        <c:grouping val="clustered"/>
        <c:varyColors val="0"/>
        <c:ser>
          <c:idx val="0"/>
          <c:order val="0"/>
          <c:tx>
            <c:v>Inf. TSS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State1!$L$8:$L$38</c:f>
              <c:numCache>
                <c:ptCount val="31"/>
                <c:pt idx="0">
                  <c:v>136</c:v>
                </c:pt>
                <c:pt idx="1">
                  <c:v>220</c:v>
                </c:pt>
                <c:pt idx="2">
                  <c:v>100</c:v>
                </c:pt>
                <c:pt idx="6">
                  <c:v>248</c:v>
                </c:pt>
                <c:pt idx="7">
                  <c:v>212</c:v>
                </c:pt>
                <c:pt idx="8">
                  <c:v>1060</c:v>
                </c:pt>
                <c:pt idx="14">
                  <c:v>276</c:v>
                </c:pt>
                <c:pt idx="15">
                  <c:v>236</c:v>
                </c:pt>
                <c:pt idx="16">
                  <c:v>268</c:v>
                </c:pt>
                <c:pt idx="20">
                  <c:v>252</c:v>
                </c:pt>
                <c:pt idx="21">
                  <c:v>428</c:v>
                </c:pt>
                <c:pt idx="22">
                  <c:v>268</c:v>
                </c:pt>
                <c:pt idx="27">
                  <c:v>256</c:v>
                </c:pt>
                <c:pt idx="28">
                  <c:v>304</c:v>
                </c:pt>
                <c:pt idx="29">
                  <c:v>304</c:v>
                </c:pt>
              </c:numCache>
            </c:numRef>
          </c:val>
        </c:ser>
        <c:ser>
          <c:idx val="3"/>
          <c:order val="1"/>
          <c:tx>
            <c:v>Final Eff. Tss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State1!$M$8:$M$38</c:f>
              <c:numCache>
                <c:ptCount val="31"/>
                <c:pt idx="0">
                  <c:v>5.2</c:v>
                </c:pt>
                <c:pt idx="1">
                  <c:v>4</c:v>
                </c:pt>
                <c:pt idx="2">
                  <c:v>2.4</c:v>
                </c:pt>
                <c:pt idx="6">
                  <c:v>6.4</c:v>
                </c:pt>
                <c:pt idx="7">
                  <c:v>6</c:v>
                </c:pt>
                <c:pt idx="8">
                  <c:v>4.4</c:v>
                </c:pt>
                <c:pt idx="14">
                  <c:v>10</c:v>
                </c:pt>
                <c:pt idx="15">
                  <c:v>5.6</c:v>
                </c:pt>
                <c:pt idx="16">
                  <c:v>1.2</c:v>
                </c:pt>
                <c:pt idx="20">
                  <c:v>4.4</c:v>
                </c:pt>
                <c:pt idx="21">
                  <c:v>3.6</c:v>
                </c:pt>
                <c:pt idx="22">
                  <c:v>1.6</c:v>
                </c:pt>
                <c:pt idx="27">
                  <c:v>5.6</c:v>
                </c:pt>
                <c:pt idx="28">
                  <c:v>7.2</c:v>
                </c:pt>
                <c:pt idx="29">
                  <c:v>3.2</c:v>
                </c:pt>
              </c:numCache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75"/>
          <c:y val="0.14725"/>
          <c:w val="0.5692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Settable Solids Comparison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3045"/>
          <c:w val="0.9425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tx>
            <c:v>Inf. SetS.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State1!$P$8:$P$38</c:f>
              <c:numCache>
                <c:ptCount val="31"/>
                <c:pt idx="0">
                  <c:v>27</c:v>
                </c:pt>
                <c:pt idx="1">
                  <c:v>19</c:v>
                </c:pt>
                <c:pt idx="2">
                  <c:v>37</c:v>
                </c:pt>
                <c:pt idx="3">
                  <c:v>19</c:v>
                </c:pt>
                <c:pt idx="4">
                  <c:v>18</c:v>
                </c:pt>
                <c:pt idx="6">
                  <c:v>25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15</c:v>
                </c:pt>
                <c:pt idx="13">
                  <c:v>21</c:v>
                </c:pt>
                <c:pt idx="14">
                  <c:v>15</c:v>
                </c:pt>
                <c:pt idx="15">
                  <c:v>16</c:v>
                </c:pt>
                <c:pt idx="16">
                  <c:v>27</c:v>
                </c:pt>
                <c:pt idx="17">
                  <c:v>29</c:v>
                </c:pt>
                <c:pt idx="20">
                  <c:v>21</c:v>
                </c:pt>
                <c:pt idx="21">
                  <c:v>24</c:v>
                </c:pt>
                <c:pt idx="22">
                  <c:v>20</c:v>
                </c:pt>
                <c:pt idx="23">
                  <c:v>26</c:v>
                </c:pt>
                <c:pt idx="24">
                  <c:v>28</c:v>
                </c:pt>
                <c:pt idx="27">
                  <c:v>24</c:v>
                </c:pt>
                <c:pt idx="28">
                  <c:v>25</c:v>
                </c:pt>
                <c:pt idx="29">
                  <c:v>20</c:v>
                </c:pt>
              </c:numCache>
            </c:numRef>
          </c:val>
        </c:ser>
        <c:ser>
          <c:idx val="3"/>
          <c:order val="1"/>
          <c:tx>
            <c:v>Final Eff. SetS.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State1!$Q$8:$Q$38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6920075"/>
        <c:axId val="18062948"/>
      </c:bar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ml/l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175"/>
          <c:y val="0.158"/>
          <c:w val="0.236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Ammonia Comparison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3035"/>
          <c:w val="0.9425"/>
          <c:h val="0.56275"/>
        </c:manualLayout>
      </c:layout>
      <c:barChart>
        <c:barDir val="col"/>
        <c:grouping val="clustered"/>
        <c:varyColors val="0"/>
        <c:ser>
          <c:idx val="0"/>
          <c:order val="0"/>
          <c:tx>
            <c:v>Inf. Ammonia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State1!$V$8:$V$38</c:f>
              <c:numCache>
                <c:ptCount val="31"/>
                <c:pt idx="0">
                  <c:v>35.4</c:v>
                </c:pt>
                <c:pt idx="1">
                  <c:v>27.9</c:v>
                </c:pt>
                <c:pt idx="2">
                  <c:v>24.1</c:v>
                </c:pt>
                <c:pt idx="6">
                  <c:v>26.9</c:v>
                </c:pt>
                <c:pt idx="7">
                  <c:v>25.2</c:v>
                </c:pt>
                <c:pt idx="9">
                  <c:v>34</c:v>
                </c:pt>
                <c:pt idx="14">
                  <c:v>34.1</c:v>
                </c:pt>
                <c:pt idx="15">
                  <c:v>30.5</c:v>
                </c:pt>
                <c:pt idx="16">
                  <c:v>35</c:v>
                </c:pt>
                <c:pt idx="20">
                  <c:v>33.3</c:v>
                </c:pt>
                <c:pt idx="21">
                  <c:v>36.9</c:v>
                </c:pt>
                <c:pt idx="22">
                  <c:v>30.6</c:v>
                </c:pt>
                <c:pt idx="27">
                  <c:v>46.2</c:v>
                </c:pt>
                <c:pt idx="28">
                  <c:v>43.5</c:v>
                </c:pt>
                <c:pt idx="29">
                  <c:v>33.1</c:v>
                </c:pt>
              </c:numCache>
            </c:numRef>
          </c:val>
        </c:ser>
        <c:ser>
          <c:idx val="2"/>
          <c:order val="1"/>
          <c:tx>
            <c:v>Final Eff. Ammonia</c:v>
          </c:tx>
          <c:spPr>
            <a:solidFill>
              <a:srgbClr val="FFFFCC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State1!$W$8:$W$38</c:f>
              <c:numCache>
                <c:ptCount val="31"/>
                <c:pt idx="0">
                  <c:v>0.5</c:v>
                </c:pt>
                <c:pt idx="1">
                  <c:v>0.3</c:v>
                </c:pt>
                <c:pt idx="2">
                  <c:v>1</c:v>
                </c:pt>
                <c:pt idx="6">
                  <c:v>0.1</c:v>
                </c:pt>
                <c:pt idx="7">
                  <c:v>0.2</c:v>
                </c:pt>
                <c:pt idx="9">
                  <c:v>0.7</c:v>
                </c:pt>
                <c:pt idx="14">
                  <c:v>1.5</c:v>
                </c:pt>
                <c:pt idx="15">
                  <c:v>2</c:v>
                </c:pt>
                <c:pt idx="16">
                  <c:v>3.2</c:v>
                </c:pt>
                <c:pt idx="20">
                  <c:v>0.96</c:v>
                </c:pt>
                <c:pt idx="21">
                  <c:v>1</c:v>
                </c:pt>
                <c:pt idx="22">
                  <c:v>1.5</c:v>
                </c:pt>
                <c:pt idx="27">
                  <c:v>1</c:v>
                </c:pt>
                <c:pt idx="28">
                  <c:v>1.3</c:v>
                </c:pt>
                <c:pt idx="29">
                  <c:v>0.724</c:v>
                </c:pt>
              </c:numCache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75"/>
          <c:y val="0.16525"/>
          <c:w val="0.294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pH Comparison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97"/>
          <c:w val="0.942"/>
          <c:h val="0.5605"/>
        </c:manualLayout>
      </c:layout>
      <c:barChart>
        <c:barDir val="col"/>
        <c:grouping val="clustered"/>
        <c:varyColors val="0"/>
        <c:ser>
          <c:idx val="0"/>
          <c:order val="0"/>
          <c:tx>
            <c:v>Inf. pH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State1!$T$8:$T$38</c:f>
              <c:numCache>
                <c:ptCount val="31"/>
                <c:pt idx="0">
                  <c:v>7.9</c:v>
                </c:pt>
                <c:pt idx="1">
                  <c:v>7.8</c:v>
                </c:pt>
                <c:pt idx="2">
                  <c:v>7.8</c:v>
                </c:pt>
                <c:pt idx="3">
                  <c:v>7.8</c:v>
                </c:pt>
                <c:pt idx="4">
                  <c:v>7.9</c:v>
                </c:pt>
                <c:pt idx="7">
                  <c:v>7.8</c:v>
                </c:pt>
                <c:pt idx="8">
                  <c:v>7.75</c:v>
                </c:pt>
                <c:pt idx="9">
                  <c:v>7.9</c:v>
                </c:pt>
                <c:pt idx="10">
                  <c:v>7.9</c:v>
                </c:pt>
                <c:pt idx="11">
                  <c:v>7.85</c:v>
                </c:pt>
                <c:pt idx="14">
                  <c:v>7.7</c:v>
                </c:pt>
                <c:pt idx="15">
                  <c:v>7.9</c:v>
                </c:pt>
                <c:pt idx="16">
                  <c:v>7.8</c:v>
                </c:pt>
                <c:pt idx="17">
                  <c:v>7.8</c:v>
                </c:pt>
                <c:pt idx="18">
                  <c:v>7.9</c:v>
                </c:pt>
                <c:pt idx="21">
                  <c:v>8.1</c:v>
                </c:pt>
                <c:pt idx="22">
                  <c:v>7.8</c:v>
                </c:pt>
                <c:pt idx="23">
                  <c:v>7.6</c:v>
                </c:pt>
                <c:pt idx="24">
                  <c:v>7.8</c:v>
                </c:pt>
                <c:pt idx="25">
                  <c:v>7.9</c:v>
                </c:pt>
                <c:pt idx="28">
                  <c:v>7.7</c:v>
                </c:pt>
                <c:pt idx="29">
                  <c:v>7.7</c:v>
                </c:pt>
              </c:numCache>
            </c:numRef>
          </c:val>
        </c:ser>
        <c:ser>
          <c:idx val="2"/>
          <c:order val="1"/>
          <c:tx>
            <c:v>Final Eff. pH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State1!$U$8:$U$38</c:f>
              <c:numCache>
                <c:ptCount val="31"/>
                <c:pt idx="0">
                  <c:v>7.5</c:v>
                </c:pt>
                <c:pt idx="1">
                  <c:v>7.5</c:v>
                </c:pt>
                <c:pt idx="2">
                  <c:v>7.6</c:v>
                </c:pt>
                <c:pt idx="3">
                  <c:v>7.5</c:v>
                </c:pt>
                <c:pt idx="4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7.55</c:v>
                </c:pt>
                <c:pt idx="10">
                  <c:v>7.6</c:v>
                </c:pt>
                <c:pt idx="11">
                  <c:v>7.6</c:v>
                </c:pt>
                <c:pt idx="14">
                  <c:v>7.6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21">
                  <c:v>7.55</c:v>
                </c:pt>
                <c:pt idx="22">
                  <c:v>7.55</c:v>
                </c:pt>
                <c:pt idx="23">
                  <c:v>7.5</c:v>
                </c:pt>
                <c:pt idx="24">
                  <c:v>7.6</c:v>
                </c:pt>
                <c:pt idx="25">
                  <c:v>7.5</c:v>
                </c:pt>
                <c:pt idx="28">
                  <c:v>7.6</c:v>
                </c:pt>
                <c:pt idx="29">
                  <c:v>7.7</c:v>
                </c:pt>
              </c:numCache>
            </c:numRef>
          </c:val>
        </c:ser>
        <c:axId val="14551839"/>
        <c:axId val="63857688"/>
      </c:barChart>
      <c:catAx>
        <c:axId val="14551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At val="0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Units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At val="1"/>
        <c:crossBetween val="between"/>
        <c:dispUnits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875"/>
          <c:y val="0.166"/>
          <c:w val="0.193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Dissolved Oxygen Trend Chart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045"/>
          <c:w val="0.942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tx>
            <c:v>Final Eff. Dissolved Oxygen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State1!$S$8:$S$38</c:f>
              <c:numCache>
                <c:ptCount val="31"/>
                <c:pt idx="0">
                  <c:v>6.6</c:v>
                </c:pt>
                <c:pt idx="1">
                  <c:v>6.2</c:v>
                </c:pt>
                <c:pt idx="2">
                  <c:v>6.4</c:v>
                </c:pt>
                <c:pt idx="3">
                  <c:v>6.5</c:v>
                </c:pt>
                <c:pt idx="4">
                  <c:v>6.8</c:v>
                </c:pt>
                <c:pt idx="7">
                  <c:v>6.4</c:v>
                </c:pt>
                <c:pt idx="8">
                  <c:v>6.8</c:v>
                </c:pt>
                <c:pt idx="9">
                  <c:v>6.65</c:v>
                </c:pt>
                <c:pt idx="10">
                  <c:v>6.4</c:v>
                </c:pt>
                <c:pt idx="11">
                  <c:v>6.5</c:v>
                </c:pt>
                <c:pt idx="14">
                  <c:v>6.6</c:v>
                </c:pt>
                <c:pt idx="15">
                  <c:v>6.5</c:v>
                </c:pt>
                <c:pt idx="16">
                  <c:v>6.6</c:v>
                </c:pt>
                <c:pt idx="17">
                  <c:v>6.6</c:v>
                </c:pt>
                <c:pt idx="18">
                  <c:v>6.4</c:v>
                </c:pt>
                <c:pt idx="21">
                  <c:v>6.6</c:v>
                </c:pt>
                <c:pt idx="22">
                  <c:v>6.6</c:v>
                </c:pt>
                <c:pt idx="23">
                  <c:v>6.2</c:v>
                </c:pt>
                <c:pt idx="24">
                  <c:v>6.8</c:v>
                </c:pt>
                <c:pt idx="25">
                  <c:v>6.6</c:v>
                </c:pt>
                <c:pt idx="28">
                  <c:v>6.6</c:v>
                </c:pt>
                <c:pt idx="29">
                  <c:v>6.4</c:v>
                </c:pt>
              </c:numCache>
            </c:numRef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6"/>
          <c:y val="0.166"/>
          <c:w val="0.239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Chlorine Residual Comparison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045"/>
          <c:w val="0.94175"/>
          <c:h val="0.561"/>
        </c:manualLayout>
      </c:layout>
      <c:barChart>
        <c:barDir val="col"/>
        <c:grouping val="clustered"/>
        <c:varyColors val="0"/>
        <c:ser>
          <c:idx val="1"/>
          <c:order val="0"/>
          <c:tx>
            <c:v>Post Cl2 Residual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State1!$AB$8:$AB$38</c:f>
              <c:numCache>
                <c:ptCount val="31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</c:v>
                </c:pt>
                <c:pt idx="14">
                  <c:v>0.02</c:v>
                </c:pt>
                <c:pt idx="15">
                  <c:v>0.01</c:v>
                </c:pt>
                <c:pt idx="16">
                  <c:v>0.01</c:v>
                </c:pt>
                <c:pt idx="17">
                  <c:v>0.02</c:v>
                </c:pt>
                <c:pt idx="18">
                  <c:v>0</c:v>
                </c:pt>
                <c:pt idx="21">
                  <c:v>0.02</c:v>
                </c:pt>
                <c:pt idx="22">
                  <c:v>0</c:v>
                </c:pt>
                <c:pt idx="23">
                  <c:v>0.02</c:v>
                </c:pt>
                <c:pt idx="24">
                  <c:v>0.01</c:v>
                </c:pt>
                <c:pt idx="25">
                  <c:v>0.02</c:v>
                </c:pt>
                <c:pt idx="28">
                  <c:v>0</c:v>
                </c:pt>
                <c:pt idx="29">
                  <c:v>0.01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1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7"/>
          <c:y val="0.166"/>
          <c:w val="0.1682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Coliform Trend Chart</a:t>
            </a:r>
          </a:p>
        </c:rich>
      </c:tx>
      <c:layout>
        <c:manualLayout>
          <c:xMode val="factor"/>
          <c:yMode val="factor"/>
          <c:x val="0.08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685"/>
          <c:w val="0.94025"/>
          <c:h val="0.59325"/>
        </c:manualLayout>
      </c:layout>
      <c:lineChart>
        <c:grouping val="standard"/>
        <c:varyColors val="0"/>
        <c:ser>
          <c:idx val="0"/>
          <c:order val="0"/>
          <c:tx>
            <c:v>Fecal Colifom Count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State1!$AA$8:$AA$38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E-Coli Count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State1!$Z$8:$Z$38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4.1</c:v>
                </c:pt>
                <c:pt idx="13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20">
                  <c:v>6.3</c:v>
                </c:pt>
                <c:pt idx="21">
                  <c:v>1</c:v>
                </c:pt>
                <c:pt idx="22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marker val="1"/>
        <c:axId val="19775661"/>
        <c:axId val="43763222"/>
      </c:line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Month</a:t>
                </a:r>
              </a:p>
            </c:rich>
          </c:tx>
          <c:layout>
            <c:manualLayout>
              <c:xMode val="factor"/>
              <c:yMode val="factor"/>
              <c:x val="-0.02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Colonies per 100 ml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56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625"/>
          <c:y val="0.166"/>
          <c:w val="0.354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0.64075</cdr:y>
    </cdr:from>
    <cdr:to>
      <cdr:x>0.98925</cdr:x>
      <cdr:y>0.6445</cdr:y>
    </cdr:to>
    <cdr:sp>
      <cdr:nvSpPr>
        <cdr:cNvPr id="1" name="Line 1"/>
        <cdr:cNvSpPr>
          <a:spLocks/>
        </cdr:cNvSpPr>
      </cdr:nvSpPr>
      <cdr:spPr>
        <a:xfrm>
          <a:off x="695325" y="1590675"/>
          <a:ext cx="6496050" cy="9525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0.4835</cdr:y>
    </cdr:from>
    <cdr:to>
      <cdr:x>0.52275</cdr:x>
      <cdr:y>0.5605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57600" y="1333500"/>
          <a:ext cx="133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457200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7625" y="28575"/>
        <a:ext cx="7400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19050</xdr:rowOff>
    </xdr:from>
    <xdr:to>
      <xdr:col>11</xdr:col>
      <xdr:colOff>466725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57150" y="2609850"/>
        <a:ext cx="74009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32</xdr:row>
      <xdr:rowOff>9525</xdr:rowOff>
    </xdr:from>
    <xdr:to>
      <xdr:col>11</xdr:col>
      <xdr:colOff>447675</xdr:colOff>
      <xdr:row>48</xdr:row>
      <xdr:rowOff>28575</xdr:rowOff>
    </xdr:to>
    <xdr:graphicFrame>
      <xdr:nvGraphicFramePr>
        <xdr:cNvPr id="3" name="Chart 3"/>
        <xdr:cNvGraphicFramePr/>
      </xdr:nvGraphicFramePr>
      <xdr:xfrm>
        <a:off x="57150" y="5191125"/>
        <a:ext cx="73818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9525</xdr:rowOff>
    </xdr:from>
    <xdr:to>
      <xdr:col>11</xdr:col>
      <xdr:colOff>447675</xdr:colOff>
      <xdr:row>64</xdr:row>
      <xdr:rowOff>76200</xdr:rowOff>
    </xdr:to>
    <xdr:graphicFrame>
      <xdr:nvGraphicFramePr>
        <xdr:cNvPr id="4" name="Chart 5"/>
        <xdr:cNvGraphicFramePr/>
      </xdr:nvGraphicFramePr>
      <xdr:xfrm>
        <a:off x="66675" y="7943850"/>
        <a:ext cx="737235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65</xdr:row>
      <xdr:rowOff>19050</xdr:rowOff>
    </xdr:from>
    <xdr:to>
      <xdr:col>11</xdr:col>
      <xdr:colOff>447675</xdr:colOff>
      <xdr:row>80</xdr:row>
      <xdr:rowOff>95250</xdr:rowOff>
    </xdr:to>
    <xdr:graphicFrame>
      <xdr:nvGraphicFramePr>
        <xdr:cNvPr id="5" name="Chart 6"/>
        <xdr:cNvGraphicFramePr/>
      </xdr:nvGraphicFramePr>
      <xdr:xfrm>
        <a:off x="76200" y="10544175"/>
        <a:ext cx="7362825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82</xdr:row>
      <xdr:rowOff>19050</xdr:rowOff>
    </xdr:from>
    <xdr:to>
      <xdr:col>11</xdr:col>
      <xdr:colOff>428625</xdr:colOff>
      <xdr:row>97</xdr:row>
      <xdr:rowOff>85725</xdr:rowOff>
    </xdr:to>
    <xdr:graphicFrame>
      <xdr:nvGraphicFramePr>
        <xdr:cNvPr id="6" name="Chart 7"/>
        <xdr:cNvGraphicFramePr/>
      </xdr:nvGraphicFramePr>
      <xdr:xfrm>
        <a:off x="104775" y="13296900"/>
        <a:ext cx="7315200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99</xdr:row>
      <xdr:rowOff>0</xdr:rowOff>
    </xdr:from>
    <xdr:to>
      <xdr:col>11</xdr:col>
      <xdr:colOff>419100</xdr:colOff>
      <xdr:row>114</xdr:row>
      <xdr:rowOff>66675</xdr:rowOff>
    </xdr:to>
    <xdr:graphicFrame>
      <xdr:nvGraphicFramePr>
        <xdr:cNvPr id="7" name="Chart 8"/>
        <xdr:cNvGraphicFramePr/>
      </xdr:nvGraphicFramePr>
      <xdr:xfrm>
        <a:off x="114300" y="16030575"/>
        <a:ext cx="7296150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116</xdr:row>
      <xdr:rowOff>0</xdr:rowOff>
    </xdr:from>
    <xdr:to>
      <xdr:col>11</xdr:col>
      <xdr:colOff>409575</xdr:colOff>
      <xdr:row>131</xdr:row>
      <xdr:rowOff>66675</xdr:rowOff>
    </xdr:to>
    <xdr:graphicFrame>
      <xdr:nvGraphicFramePr>
        <xdr:cNvPr id="8" name="Chart 9"/>
        <xdr:cNvGraphicFramePr/>
      </xdr:nvGraphicFramePr>
      <xdr:xfrm>
        <a:off x="123825" y="18783300"/>
        <a:ext cx="7277100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132</xdr:row>
      <xdr:rowOff>19050</xdr:rowOff>
    </xdr:from>
    <xdr:to>
      <xdr:col>11</xdr:col>
      <xdr:colOff>409575</xdr:colOff>
      <xdr:row>147</xdr:row>
      <xdr:rowOff>85725</xdr:rowOff>
    </xdr:to>
    <xdr:graphicFrame>
      <xdr:nvGraphicFramePr>
        <xdr:cNvPr id="9" name="Chart 11"/>
        <xdr:cNvGraphicFramePr/>
      </xdr:nvGraphicFramePr>
      <xdr:xfrm>
        <a:off x="133350" y="21393150"/>
        <a:ext cx="726757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148</xdr:row>
      <xdr:rowOff>28575</xdr:rowOff>
    </xdr:from>
    <xdr:to>
      <xdr:col>11</xdr:col>
      <xdr:colOff>419100</xdr:colOff>
      <xdr:row>163</xdr:row>
      <xdr:rowOff>95250</xdr:rowOff>
    </xdr:to>
    <xdr:graphicFrame>
      <xdr:nvGraphicFramePr>
        <xdr:cNvPr id="10" name="Chart 12"/>
        <xdr:cNvGraphicFramePr/>
      </xdr:nvGraphicFramePr>
      <xdr:xfrm>
        <a:off x="133350" y="23993475"/>
        <a:ext cx="7277100" cy="2495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133350</xdr:colOff>
      <xdr:row>165</xdr:row>
      <xdr:rowOff>0</xdr:rowOff>
    </xdr:from>
    <xdr:to>
      <xdr:col>11</xdr:col>
      <xdr:colOff>409575</xdr:colOff>
      <xdr:row>182</xdr:row>
      <xdr:rowOff>9525</xdr:rowOff>
    </xdr:to>
    <xdr:graphicFrame>
      <xdr:nvGraphicFramePr>
        <xdr:cNvPr id="11" name="Chart 14"/>
        <xdr:cNvGraphicFramePr/>
      </xdr:nvGraphicFramePr>
      <xdr:xfrm>
        <a:off x="133350" y="26717625"/>
        <a:ext cx="7267575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238125</xdr:colOff>
      <xdr:row>124</xdr:row>
      <xdr:rowOff>66675</xdr:rowOff>
    </xdr:from>
    <xdr:to>
      <xdr:col>1</xdr:col>
      <xdr:colOff>238125</xdr:colOff>
      <xdr:row>124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847725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371475</xdr:colOff>
      <xdr:row>120</xdr:row>
      <xdr:rowOff>57150</xdr:rowOff>
    </xdr:from>
    <xdr:ext cx="2447925" cy="180975"/>
    <xdr:sp>
      <xdr:nvSpPr>
        <xdr:cNvPr id="13" name="Text Box 16"/>
        <xdr:cNvSpPr txBox="1">
          <a:spLocks noChangeArrowheads="1"/>
        </xdr:cNvSpPr>
      </xdr:nvSpPr>
      <xdr:spPr>
        <a:xfrm>
          <a:off x="2809875" y="19488150"/>
          <a:ext cx="2447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Permit Maximum is Red Line @ 0.03 mg/l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9"/>
  <sheetViews>
    <sheetView zoomScale="80" zoomScaleNormal="8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8" sqref="A38"/>
    </sheetView>
  </sheetViews>
  <sheetFormatPr defaultColWidth="9.140625" defaultRowHeight="12.75"/>
  <cols>
    <col min="2" max="2" width="9.28125" style="0" customWidth="1"/>
    <col min="3" max="3" width="8.00390625" style="0" customWidth="1"/>
    <col min="4" max="4" width="12.140625" style="0" customWidth="1"/>
    <col min="5" max="5" width="12.421875" style="0" bestFit="1" customWidth="1"/>
    <col min="8" max="8" width="9.421875" style="0" bestFit="1" customWidth="1"/>
    <col min="10" max="10" width="11.7109375" style="0" customWidth="1"/>
    <col min="11" max="11" width="11.00390625" style="0" customWidth="1"/>
    <col min="12" max="12" width="9.7109375" style="0" customWidth="1"/>
    <col min="13" max="13" width="12.00390625" style="0" customWidth="1"/>
    <col min="14" max="14" width="11.7109375" style="0" customWidth="1"/>
    <col min="15" max="15" width="13.28125" style="0" customWidth="1"/>
    <col min="16" max="16" width="12.140625" style="0" customWidth="1"/>
  </cols>
  <sheetData>
    <row r="1" spans="1:15" ht="19.5" customHeight="1">
      <c r="A1" s="502" t="s">
        <v>415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pans="1:15" ht="19.5" customHeight="1">
      <c r="A2" s="503" t="s">
        <v>378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1:15" ht="19.5" customHeight="1">
      <c r="A3" s="504">
        <v>45383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6"/>
    </row>
    <row r="4" spans="1:15" ht="19.5" customHeight="1">
      <c r="A4" s="495" t="s">
        <v>278</v>
      </c>
      <c r="B4" s="498"/>
      <c r="C4" s="499"/>
      <c r="D4" s="193" t="s">
        <v>377</v>
      </c>
      <c r="E4" s="193"/>
      <c r="F4" s="193"/>
      <c r="G4" s="193"/>
      <c r="H4" s="193" t="s">
        <v>505</v>
      </c>
      <c r="I4" s="193" t="s">
        <v>506</v>
      </c>
      <c r="J4" s="193"/>
      <c r="K4" s="495" t="s">
        <v>434</v>
      </c>
      <c r="L4" s="495"/>
      <c r="M4" s="495"/>
      <c r="N4" s="495" t="s">
        <v>376</v>
      </c>
      <c r="O4" s="495"/>
    </row>
    <row r="5" spans="1:15" ht="19.5" customHeight="1">
      <c r="A5" s="495"/>
      <c r="B5" s="498" t="s">
        <v>292</v>
      </c>
      <c r="C5" s="499"/>
      <c r="D5" s="433" t="s">
        <v>293</v>
      </c>
      <c r="E5" s="193" t="s">
        <v>323</v>
      </c>
      <c r="F5" s="193" t="s">
        <v>501</v>
      </c>
      <c r="G5" s="193" t="s">
        <v>503</v>
      </c>
      <c r="H5" s="193" t="s">
        <v>451</v>
      </c>
      <c r="I5" s="193" t="s">
        <v>507</v>
      </c>
      <c r="J5" s="193" t="s">
        <v>508</v>
      </c>
      <c r="K5" s="193" t="s">
        <v>372</v>
      </c>
      <c r="L5" s="193" t="s">
        <v>373</v>
      </c>
      <c r="M5" s="193"/>
      <c r="N5" s="193" t="s">
        <v>374</v>
      </c>
      <c r="O5" s="193" t="s">
        <v>375</v>
      </c>
    </row>
    <row r="6" spans="1:15" ht="19.5" customHeight="1">
      <c r="A6" s="495"/>
      <c r="B6" s="498" t="s">
        <v>417</v>
      </c>
      <c r="C6" s="499"/>
      <c r="D6" s="433" t="s">
        <v>418</v>
      </c>
      <c r="E6" s="193" t="s">
        <v>348</v>
      </c>
      <c r="F6" s="193" t="s">
        <v>499</v>
      </c>
      <c r="G6" s="193" t="s">
        <v>499</v>
      </c>
      <c r="H6" s="193" t="s">
        <v>452</v>
      </c>
      <c r="I6" s="193" t="s">
        <v>452</v>
      </c>
      <c r="J6" s="193" t="s">
        <v>509</v>
      </c>
      <c r="K6" s="193" t="s">
        <v>379</v>
      </c>
      <c r="L6" s="193" t="s">
        <v>379</v>
      </c>
      <c r="M6" s="193"/>
      <c r="N6" s="193" t="s">
        <v>371</v>
      </c>
      <c r="O6" s="193" t="s">
        <v>371</v>
      </c>
    </row>
    <row r="7" spans="1:15" ht="19.5" customHeight="1">
      <c r="A7" s="193">
        <v>1</v>
      </c>
      <c r="B7" s="496">
        <v>215450</v>
      </c>
      <c r="C7" s="497"/>
      <c r="D7" s="432">
        <v>228985</v>
      </c>
      <c r="E7" s="446">
        <v>0</v>
      </c>
      <c r="F7" s="387">
        <v>21.9</v>
      </c>
      <c r="G7" s="382">
        <v>7.8</v>
      </c>
      <c r="H7" s="382">
        <v>3</v>
      </c>
      <c r="I7" s="382">
        <v>1</v>
      </c>
      <c r="J7" s="483">
        <v>0</v>
      </c>
      <c r="K7" s="382">
        <v>12</v>
      </c>
      <c r="L7" s="382">
        <v>12</v>
      </c>
      <c r="M7" s="382"/>
      <c r="N7" s="382">
        <v>24</v>
      </c>
      <c r="O7" s="382">
        <v>0</v>
      </c>
    </row>
    <row r="8" spans="1:15" ht="19.5" customHeight="1">
      <c r="A8" s="193">
        <v>2</v>
      </c>
      <c r="B8" s="500">
        <v>230723</v>
      </c>
      <c r="C8" s="501"/>
      <c r="D8" s="434">
        <v>223391</v>
      </c>
      <c r="E8" s="446">
        <v>0</v>
      </c>
      <c r="F8" s="387">
        <v>23.4</v>
      </c>
      <c r="G8" s="382">
        <v>7.8</v>
      </c>
      <c r="H8" s="382">
        <v>4</v>
      </c>
      <c r="I8" s="382">
        <v>1</v>
      </c>
      <c r="J8" s="382">
        <v>11</v>
      </c>
      <c r="K8" s="382">
        <v>12</v>
      </c>
      <c r="L8" s="382">
        <v>12</v>
      </c>
      <c r="M8" s="382"/>
      <c r="N8" s="382">
        <v>24</v>
      </c>
      <c r="O8" s="382">
        <v>0</v>
      </c>
    </row>
    <row r="9" spans="1:16" ht="19.5" customHeight="1">
      <c r="A9" s="193">
        <v>3</v>
      </c>
      <c r="B9" s="500">
        <v>265446</v>
      </c>
      <c r="C9" s="501"/>
      <c r="D9" s="434">
        <v>256615</v>
      </c>
      <c r="E9" s="446">
        <v>0.44</v>
      </c>
      <c r="F9" s="387">
        <v>21.9</v>
      </c>
      <c r="G9" s="382">
        <v>7.8</v>
      </c>
      <c r="H9" s="382">
        <v>3.5</v>
      </c>
      <c r="I9" s="382">
        <v>1</v>
      </c>
      <c r="J9" s="382">
        <v>7</v>
      </c>
      <c r="K9" s="382">
        <v>12</v>
      </c>
      <c r="L9" s="382">
        <v>12</v>
      </c>
      <c r="M9" s="382"/>
      <c r="N9" s="382">
        <v>24</v>
      </c>
      <c r="O9" s="382">
        <v>0</v>
      </c>
      <c r="P9" s="435"/>
    </row>
    <row r="10" spans="1:15" ht="19.5" customHeight="1">
      <c r="A10" s="193">
        <v>4</v>
      </c>
      <c r="B10" s="500">
        <v>211075</v>
      </c>
      <c r="C10" s="501"/>
      <c r="D10" s="434">
        <v>224660</v>
      </c>
      <c r="E10" s="446">
        <v>0.03</v>
      </c>
      <c r="F10" s="387">
        <v>34.4</v>
      </c>
      <c r="G10" s="382">
        <v>7.8</v>
      </c>
      <c r="H10" s="382">
        <v>3</v>
      </c>
      <c r="I10" s="382">
        <v>1</v>
      </c>
      <c r="J10" s="382">
        <v>0</v>
      </c>
      <c r="K10" s="382">
        <v>12</v>
      </c>
      <c r="L10" s="382">
        <v>12</v>
      </c>
      <c r="M10" s="382"/>
      <c r="N10" s="382">
        <v>24</v>
      </c>
      <c r="O10" s="382">
        <v>0</v>
      </c>
    </row>
    <row r="11" spans="1:15" ht="19.5" customHeight="1">
      <c r="A11" s="193">
        <v>5</v>
      </c>
      <c r="B11" s="500">
        <v>215723</v>
      </c>
      <c r="C11" s="501"/>
      <c r="D11" s="434">
        <v>217327</v>
      </c>
      <c r="E11" s="446">
        <v>0.04</v>
      </c>
      <c r="F11" s="387">
        <v>21.1</v>
      </c>
      <c r="G11" s="382">
        <v>7.8</v>
      </c>
      <c r="H11" s="382">
        <v>4</v>
      </c>
      <c r="I11" s="382">
        <v>1</v>
      </c>
      <c r="J11" s="382">
        <v>0</v>
      </c>
      <c r="K11" s="382">
        <v>12</v>
      </c>
      <c r="L11" s="382">
        <v>12</v>
      </c>
      <c r="M11" s="382"/>
      <c r="N11" s="382">
        <v>24</v>
      </c>
      <c r="O11" s="382">
        <v>0</v>
      </c>
    </row>
    <row r="12" spans="1:15" ht="19.5" customHeight="1">
      <c r="A12" s="193">
        <v>6</v>
      </c>
      <c r="B12" s="500">
        <v>196528</v>
      </c>
      <c r="C12" s="501"/>
      <c r="D12" s="434">
        <v>214579</v>
      </c>
      <c r="E12" s="446">
        <v>0</v>
      </c>
      <c r="F12" s="387">
        <v>34</v>
      </c>
      <c r="G12" s="382">
        <v>7.8</v>
      </c>
      <c r="H12" s="382">
        <v>3.8</v>
      </c>
      <c r="I12" s="382">
        <v>1</v>
      </c>
      <c r="J12" s="382">
        <v>3</v>
      </c>
      <c r="K12" s="382">
        <v>12</v>
      </c>
      <c r="L12" s="382">
        <v>12</v>
      </c>
      <c r="M12" s="382"/>
      <c r="N12" s="382">
        <v>24</v>
      </c>
      <c r="O12" s="382">
        <v>0</v>
      </c>
    </row>
    <row r="13" spans="1:15" ht="19.5" customHeight="1">
      <c r="A13" s="193">
        <v>7</v>
      </c>
      <c r="B13" s="500">
        <v>194739</v>
      </c>
      <c r="C13" s="501"/>
      <c r="D13" s="434">
        <v>203049</v>
      </c>
      <c r="E13" s="446">
        <v>0</v>
      </c>
      <c r="F13" s="387">
        <v>16.4</v>
      </c>
      <c r="G13" s="382">
        <v>7.8</v>
      </c>
      <c r="H13" s="382">
        <v>2.5</v>
      </c>
      <c r="I13" s="382">
        <v>1</v>
      </c>
      <c r="J13" s="382">
        <v>0</v>
      </c>
      <c r="K13" s="382">
        <v>12</v>
      </c>
      <c r="L13" s="382">
        <v>12</v>
      </c>
      <c r="M13" s="382"/>
      <c r="N13" s="382">
        <v>24</v>
      </c>
      <c r="O13" s="382">
        <v>0</v>
      </c>
    </row>
    <row r="14" spans="1:15" ht="19.5" customHeight="1">
      <c r="A14" s="193">
        <v>8</v>
      </c>
      <c r="B14" s="500">
        <v>187451</v>
      </c>
      <c r="C14" s="501"/>
      <c r="D14" s="434">
        <v>214552</v>
      </c>
      <c r="E14" s="446">
        <v>0</v>
      </c>
      <c r="F14" s="387">
        <v>16.4</v>
      </c>
      <c r="G14" s="382">
        <v>7.8</v>
      </c>
      <c r="H14" s="382">
        <v>3.5</v>
      </c>
      <c r="I14" s="382">
        <v>1</v>
      </c>
      <c r="J14" s="382">
        <v>0</v>
      </c>
      <c r="K14" s="382">
        <v>12</v>
      </c>
      <c r="L14" s="382">
        <v>12</v>
      </c>
      <c r="M14" s="382"/>
      <c r="N14" s="382">
        <v>24</v>
      </c>
      <c r="O14" s="382">
        <v>0</v>
      </c>
    </row>
    <row r="15" spans="1:15" ht="19.5" customHeight="1">
      <c r="A15" s="193">
        <v>9</v>
      </c>
      <c r="B15" s="500">
        <v>221868</v>
      </c>
      <c r="C15" s="501"/>
      <c r="D15" s="434">
        <v>226655</v>
      </c>
      <c r="E15" s="446">
        <v>0.06</v>
      </c>
      <c r="F15" s="387">
        <v>12.5</v>
      </c>
      <c r="G15" s="382">
        <v>7.8</v>
      </c>
      <c r="H15" s="382">
        <v>3.5</v>
      </c>
      <c r="I15" s="382">
        <v>1</v>
      </c>
      <c r="J15" s="382">
        <v>2</v>
      </c>
      <c r="K15" s="382">
        <v>12</v>
      </c>
      <c r="L15" s="382">
        <v>12</v>
      </c>
      <c r="M15" s="382"/>
      <c r="N15" s="382">
        <v>24</v>
      </c>
      <c r="O15" s="382">
        <v>0</v>
      </c>
    </row>
    <row r="16" spans="1:15" ht="19.5" customHeight="1">
      <c r="A16" s="193">
        <v>10</v>
      </c>
      <c r="B16" s="500">
        <v>236339</v>
      </c>
      <c r="C16" s="501"/>
      <c r="D16" s="434">
        <v>235007</v>
      </c>
      <c r="E16" s="446">
        <v>0</v>
      </c>
      <c r="F16" s="387">
        <v>18</v>
      </c>
      <c r="G16" s="382">
        <v>7.8</v>
      </c>
      <c r="H16" s="382">
        <v>3.5</v>
      </c>
      <c r="I16" s="382">
        <v>1</v>
      </c>
      <c r="J16" s="382">
        <v>7.5</v>
      </c>
      <c r="K16" s="382">
        <v>12</v>
      </c>
      <c r="L16" s="382">
        <v>12</v>
      </c>
      <c r="M16" s="382"/>
      <c r="N16" s="382">
        <v>24</v>
      </c>
      <c r="O16" s="382">
        <v>0</v>
      </c>
    </row>
    <row r="17" spans="1:15" ht="19.5" customHeight="1">
      <c r="A17" s="193">
        <v>11</v>
      </c>
      <c r="B17" s="500">
        <v>430213</v>
      </c>
      <c r="C17" s="501"/>
      <c r="D17" s="434">
        <v>372435</v>
      </c>
      <c r="E17" s="446">
        <v>0.45</v>
      </c>
      <c r="F17" s="387">
        <v>16.4</v>
      </c>
      <c r="G17" s="382">
        <v>7.8</v>
      </c>
      <c r="H17" s="382">
        <v>4.5</v>
      </c>
      <c r="I17" s="382">
        <v>1</v>
      </c>
      <c r="J17" s="382">
        <v>0</v>
      </c>
      <c r="K17" s="382">
        <v>12</v>
      </c>
      <c r="L17" s="382">
        <v>12</v>
      </c>
      <c r="M17" s="382"/>
      <c r="N17" s="382">
        <v>24</v>
      </c>
      <c r="O17" s="382">
        <v>0</v>
      </c>
    </row>
    <row r="18" spans="1:15" ht="19.5" customHeight="1">
      <c r="A18" s="193">
        <v>12</v>
      </c>
      <c r="B18" s="500">
        <v>376442</v>
      </c>
      <c r="C18" s="501"/>
      <c r="D18" s="434">
        <v>337888</v>
      </c>
      <c r="E18" s="446">
        <v>1.14</v>
      </c>
      <c r="F18" s="387">
        <v>18</v>
      </c>
      <c r="G18" s="382">
        <v>7.8</v>
      </c>
      <c r="H18" s="382">
        <v>5.5</v>
      </c>
      <c r="I18" s="382">
        <v>1</v>
      </c>
      <c r="J18" s="382">
        <v>0</v>
      </c>
      <c r="K18" s="382">
        <v>12</v>
      </c>
      <c r="L18" s="382">
        <v>12</v>
      </c>
      <c r="M18" s="382"/>
      <c r="N18" s="382">
        <v>24</v>
      </c>
      <c r="O18" s="382">
        <v>0</v>
      </c>
    </row>
    <row r="19" spans="1:15" ht="19.5" customHeight="1">
      <c r="A19" s="193">
        <v>13</v>
      </c>
      <c r="B19" s="500">
        <v>270768</v>
      </c>
      <c r="C19" s="501"/>
      <c r="D19" s="434">
        <v>256951</v>
      </c>
      <c r="E19" s="446">
        <v>0.11</v>
      </c>
      <c r="F19" s="387">
        <v>15.6</v>
      </c>
      <c r="G19" s="382">
        <v>7.8</v>
      </c>
      <c r="H19" s="382">
        <v>4</v>
      </c>
      <c r="I19" s="382">
        <v>1</v>
      </c>
      <c r="J19" s="382">
        <v>0</v>
      </c>
      <c r="K19" s="382">
        <v>12</v>
      </c>
      <c r="L19" s="382">
        <v>12</v>
      </c>
      <c r="M19" s="382"/>
      <c r="N19" s="382">
        <v>24</v>
      </c>
      <c r="O19" s="382">
        <v>0</v>
      </c>
    </row>
    <row r="20" spans="1:15" ht="19.5" customHeight="1">
      <c r="A20" s="193">
        <v>14</v>
      </c>
      <c r="B20" s="500">
        <v>249345</v>
      </c>
      <c r="C20" s="501"/>
      <c r="D20" s="434">
        <v>250331</v>
      </c>
      <c r="E20" s="446">
        <v>0</v>
      </c>
      <c r="F20" s="387">
        <v>19.5</v>
      </c>
      <c r="G20" s="382">
        <v>7.8</v>
      </c>
      <c r="H20" s="382">
        <v>2</v>
      </c>
      <c r="I20" s="382">
        <v>1</v>
      </c>
      <c r="J20" s="382">
        <v>0</v>
      </c>
      <c r="K20" s="382">
        <v>12</v>
      </c>
      <c r="L20" s="382">
        <v>12</v>
      </c>
      <c r="M20" s="382"/>
      <c r="N20" s="382">
        <v>24</v>
      </c>
      <c r="O20" s="382">
        <v>0</v>
      </c>
    </row>
    <row r="21" spans="1:15" ht="19.5" customHeight="1">
      <c r="A21" s="193">
        <v>15</v>
      </c>
      <c r="B21" s="500">
        <v>247380</v>
      </c>
      <c r="C21" s="501"/>
      <c r="D21" s="434">
        <v>254506</v>
      </c>
      <c r="E21" s="446">
        <v>0</v>
      </c>
      <c r="F21" s="387">
        <v>14.6</v>
      </c>
      <c r="G21" s="382">
        <v>7.8</v>
      </c>
      <c r="H21" s="382">
        <v>3</v>
      </c>
      <c r="I21" s="382">
        <v>1</v>
      </c>
      <c r="J21" s="382">
        <v>1</v>
      </c>
      <c r="K21" s="382">
        <v>12</v>
      </c>
      <c r="L21" s="382">
        <v>12</v>
      </c>
      <c r="M21" s="382"/>
      <c r="N21" s="382">
        <v>24</v>
      </c>
      <c r="O21" s="382">
        <v>0</v>
      </c>
    </row>
    <row r="22" spans="1:15" ht="19.5" customHeight="1">
      <c r="A22" s="193">
        <v>16</v>
      </c>
      <c r="B22" s="500">
        <v>185063</v>
      </c>
      <c r="C22" s="501"/>
      <c r="D22" s="434">
        <v>240082</v>
      </c>
      <c r="E22" s="446">
        <v>0</v>
      </c>
      <c r="F22" s="387">
        <v>15.8</v>
      </c>
      <c r="G22" s="382">
        <v>7.8</v>
      </c>
      <c r="H22" s="382">
        <v>3</v>
      </c>
      <c r="I22" s="382">
        <v>1</v>
      </c>
      <c r="J22" s="382">
        <v>4</v>
      </c>
      <c r="K22" s="382">
        <v>12</v>
      </c>
      <c r="L22" s="382">
        <v>12</v>
      </c>
      <c r="M22" s="382"/>
      <c r="N22" s="382">
        <v>24</v>
      </c>
      <c r="O22" s="382">
        <v>0</v>
      </c>
    </row>
    <row r="23" spans="1:15" ht="19.5" customHeight="1">
      <c r="A23" s="193">
        <v>17</v>
      </c>
      <c r="B23" s="500">
        <v>209862</v>
      </c>
      <c r="C23" s="501"/>
      <c r="D23" s="434">
        <v>255624</v>
      </c>
      <c r="E23" s="446">
        <v>0</v>
      </c>
      <c r="F23" s="387">
        <v>16.8</v>
      </c>
      <c r="G23" s="382">
        <v>7.8</v>
      </c>
      <c r="H23" s="382">
        <v>3.5</v>
      </c>
      <c r="I23" s="382">
        <v>1</v>
      </c>
      <c r="J23" s="382">
        <v>5</v>
      </c>
      <c r="K23" s="382">
        <v>12</v>
      </c>
      <c r="L23" s="382">
        <v>12</v>
      </c>
      <c r="M23" s="382"/>
      <c r="N23" s="382">
        <v>24</v>
      </c>
      <c r="O23" s="382">
        <v>0</v>
      </c>
    </row>
    <row r="24" spans="1:15" ht="19.5" customHeight="1">
      <c r="A24" s="193">
        <v>18</v>
      </c>
      <c r="B24" s="500">
        <v>218132</v>
      </c>
      <c r="C24" s="501"/>
      <c r="D24" s="434">
        <v>250178</v>
      </c>
      <c r="E24" s="446">
        <v>0.02</v>
      </c>
      <c r="F24" s="387">
        <v>16.4</v>
      </c>
      <c r="G24" s="382">
        <v>7.8</v>
      </c>
      <c r="H24" s="382">
        <v>4</v>
      </c>
      <c r="I24" s="382">
        <v>1</v>
      </c>
      <c r="J24" s="382">
        <v>5.5</v>
      </c>
      <c r="K24" s="382">
        <v>12</v>
      </c>
      <c r="L24" s="382">
        <v>12</v>
      </c>
      <c r="M24" s="382"/>
      <c r="N24" s="382">
        <v>24</v>
      </c>
      <c r="O24" s="382">
        <v>0</v>
      </c>
    </row>
    <row r="25" spans="1:15" ht="19.5" customHeight="1">
      <c r="A25" s="193">
        <v>19</v>
      </c>
      <c r="B25" s="500">
        <v>219491</v>
      </c>
      <c r="C25" s="501"/>
      <c r="D25" s="434">
        <v>233036</v>
      </c>
      <c r="E25" s="446">
        <v>0.15</v>
      </c>
      <c r="F25" s="387">
        <v>16</v>
      </c>
      <c r="G25" s="382">
        <v>7.8</v>
      </c>
      <c r="H25" s="382">
        <v>3.5</v>
      </c>
      <c r="I25" s="382">
        <v>1</v>
      </c>
      <c r="J25" s="382">
        <v>0</v>
      </c>
      <c r="K25" s="382">
        <v>12</v>
      </c>
      <c r="L25" s="382">
        <v>12</v>
      </c>
      <c r="M25" s="382"/>
      <c r="N25" s="382">
        <v>24</v>
      </c>
      <c r="O25" s="382">
        <v>0</v>
      </c>
    </row>
    <row r="26" spans="1:15" ht="19.5" customHeight="1">
      <c r="A26" s="193">
        <v>20</v>
      </c>
      <c r="B26" s="500">
        <v>205626</v>
      </c>
      <c r="C26" s="501"/>
      <c r="D26" s="434">
        <v>218199</v>
      </c>
      <c r="E26" s="446">
        <v>0</v>
      </c>
      <c r="F26" s="387">
        <v>17.2</v>
      </c>
      <c r="G26" s="382">
        <v>7.8</v>
      </c>
      <c r="H26" s="382">
        <v>4</v>
      </c>
      <c r="I26" s="382">
        <v>1</v>
      </c>
      <c r="J26" s="382">
        <v>0</v>
      </c>
      <c r="K26" s="382">
        <v>12</v>
      </c>
      <c r="L26" s="382">
        <v>12</v>
      </c>
      <c r="M26" s="382"/>
      <c r="N26" s="382">
        <v>24</v>
      </c>
      <c r="O26" s="382">
        <v>0</v>
      </c>
    </row>
    <row r="27" spans="1:15" ht="19.5" customHeight="1">
      <c r="A27" s="193">
        <v>21</v>
      </c>
      <c r="B27" s="496">
        <v>199127</v>
      </c>
      <c r="C27" s="497"/>
      <c r="D27" s="432">
        <v>211624</v>
      </c>
      <c r="E27" s="426">
        <v>0.14</v>
      </c>
      <c r="F27" s="387">
        <v>17</v>
      </c>
      <c r="G27" s="387">
        <v>7.8</v>
      </c>
      <c r="H27" s="382">
        <v>5</v>
      </c>
      <c r="I27" s="382">
        <v>1</v>
      </c>
      <c r="J27" s="382">
        <v>0</v>
      </c>
      <c r="K27" s="382">
        <v>12</v>
      </c>
      <c r="L27" s="382">
        <v>12</v>
      </c>
      <c r="M27" s="382"/>
      <c r="N27" s="382">
        <v>24</v>
      </c>
      <c r="O27" s="382">
        <v>0</v>
      </c>
    </row>
    <row r="28" spans="1:15" ht="19.5" customHeight="1">
      <c r="A28" s="193">
        <v>22</v>
      </c>
      <c r="B28" s="496">
        <v>193608</v>
      </c>
      <c r="C28" s="497"/>
      <c r="D28" s="432">
        <v>207938</v>
      </c>
      <c r="E28" s="426">
        <v>0</v>
      </c>
      <c r="F28" s="387">
        <v>12.3</v>
      </c>
      <c r="G28" s="387">
        <v>7.8</v>
      </c>
      <c r="H28" s="382">
        <v>4</v>
      </c>
      <c r="I28" s="382">
        <v>1</v>
      </c>
      <c r="J28" s="382">
        <v>0</v>
      </c>
      <c r="K28" s="382">
        <v>12</v>
      </c>
      <c r="L28" s="382">
        <v>12</v>
      </c>
      <c r="M28" s="382"/>
      <c r="N28" s="382">
        <v>24</v>
      </c>
      <c r="O28" s="382">
        <v>0</v>
      </c>
    </row>
    <row r="29" spans="1:15" ht="19.5" customHeight="1">
      <c r="A29" s="193">
        <v>23</v>
      </c>
      <c r="B29" s="496">
        <v>205608</v>
      </c>
      <c r="C29" s="497"/>
      <c r="D29" s="432">
        <v>101856</v>
      </c>
      <c r="E29" s="426">
        <v>0</v>
      </c>
      <c r="F29" s="387">
        <v>14.5</v>
      </c>
      <c r="G29" s="387">
        <v>7.8</v>
      </c>
      <c r="H29" s="382">
        <v>3</v>
      </c>
      <c r="I29" s="382">
        <v>1</v>
      </c>
      <c r="J29" s="382">
        <v>0</v>
      </c>
      <c r="K29" s="382">
        <v>12</v>
      </c>
      <c r="L29" s="382">
        <v>12</v>
      </c>
      <c r="M29" s="382"/>
      <c r="N29" s="382">
        <v>24</v>
      </c>
      <c r="O29" s="382">
        <v>0</v>
      </c>
    </row>
    <row r="30" spans="1:15" ht="19.5" customHeight="1">
      <c r="A30" s="193">
        <v>24</v>
      </c>
      <c r="B30" s="496">
        <v>207984</v>
      </c>
      <c r="C30" s="497"/>
      <c r="D30" s="432">
        <v>199932</v>
      </c>
      <c r="E30" s="426">
        <v>0</v>
      </c>
      <c r="F30" s="387">
        <v>13.3</v>
      </c>
      <c r="G30" s="387">
        <v>7.8</v>
      </c>
      <c r="H30" s="382">
        <v>3</v>
      </c>
      <c r="I30" s="382">
        <v>1</v>
      </c>
      <c r="J30" s="382">
        <v>5</v>
      </c>
      <c r="K30" s="382">
        <v>12</v>
      </c>
      <c r="L30" s="382">
        <v>12</v>
      </c>
      <c r="M30" s="382"/>
      <c r="N30" s="382">
        <v>24</v>
      </c>
      <c r="O30" s="382">
        <v>0</v>
      </c>
    </row>
    <row r="31" spans="1:15" ht="19.5" customHeight="1">
      <c r="A31" s="193">
        <v>25</v>
      </c>
      <c r="B31" s="496">
        <v>201666</v>
      </c>
      <c r="C31" s="497"/>
      <c r="D31" s="432">
        <v>202873</v>
      </c>
      <c r="E31" s="426">
        <v>0</v>
      </c>
      <c r="F31" s="387">
        <v>12.1</v>
      </c>
      <c r="G31" s="387">
        <v>7.8</v>
      </c>
      <c r="H31" s="382">
        <v>3</v>
      </c>
      <c r="I31" s="382">
        <v>1</v>
      </c>
      <c r="J31" s="382">
        <v>5</v>
      </c>
      <c r="K31" s="382">
        <v>12</v>
      </c>
      <c r="L31" s="382">
        <v>12</v>
      </c>
      <c r="M31" s="382"/>
      <c r="N31" s="382">
        <v>24</v>
      </c>
      <c r="O31" s="382">
        <v>0</v>
      </c>
    </row>
    <row r="32" spans="1:15" ht="19.5" customHeight="1">
      <c r="A32" s="193">
        <v>26</v>
      </c>
      <c r="B32" s="496">
        <v>219703</v>
      </c>
      <c r="C32" s="497"/>
      <c r="D32" s="432">
        <v>206414</v>
      </c>
      <c r="E32" s="426">
        <v>0.02</v>
      </c>
      <c r="F32" s="387">
        <v>13.7</v>
      </c>
      <c r="G32" s="387">
        <v>7.8</v>
      </c>
      <c r="H32" s="382">
        <v>2.8</v>
      </c>
      <c r="I32" s="382">
        <v>1</v>
      </c>
      <c r="J32" s="382">
        <v>5</v>
      </c>
      <c r="K32" s="382">
        <v>12</v>
      </c>
      <c r="L32" s="382">
        <v>12</v>
      </c>
      <c r="M32" s="382"/>
      <c r="N32" s="382">
        <v>24</v>
      </c>
      <c r="O32" s="382">
        <v>0</v>
      </c>
    </row>
    <row r="33" spans="1:15" ht="19.5" customHeight="1">
      <c r="A33" s="193">
        <v>27</v>
      </c>
      <c r="B33" s="496">
        <v>190584</v>
      </c>
      <c r="C33" s="497"/>
      <c r="D33" s="432">
        <v>188808</v>
      </c>
      <c r="E33" s="426">
        <v>0.3</v>
      </c>
      <c r="F33" s="387">
        <v>13.3</v>
      </c>
      <c r="G33" s="387">
        <v>7.8</v>
      </c>
      <c r="H33" s="382">
        <v>3</v>
      </c>
      <c r="I33" s="382">
        <v>1</v>
      </c>
      <c r="J33" s="382">
        <v>4</v>
      </c>
      <c r="K33" s="382">
        <v>12</v>
      </c>
      <c r="L33" s="382">
        <v>12</v>
      </c>
      <c r="M33" s="382"/>
      <c r="N33" s="382">
        <v>24</v>
      </c>
      <c r="O33" s="382">
        <v>0</v>
      </c>
    </row>
    <row r="34" spans="1:15" ht="19.5" customHeight="1">
      <c r="A34" s="193">
        <v>28</v>
      </c>
      <c r="B34" s="496">
        <v>195032</v>
      </c>
      <c r="C34" s="497"/>
      <c r="D34" s="432">
        <v>199455</v>
      </c>
      <c r="E34" s="426">
        <v>0.01</v>
      </c>
      <c r="F34" s="387">
        <v>12.5</v>
      </c>
      <c r="G34" s="387">
        <v>7.8</v>
      </c>
      <c r="H34" s="382">
        <v>2.5</v>
      </c>
      <c r="I34" s="382">
        <v>1</v>
      </c>
      <c r="J34" s="382">
        <v>2</v>
      </c>
      <c r="K34" s="382">
        <v>12</v>
      </c>
      <c r="L34" s="382">
        <v>12</v>
      </c>
      <c r="M34" s="382"/>
      <c r="N34" s="382">
        <v>24</v>
      </c>
      <c r="O34" s="382">
        <v>0</v>
      </c>
    </row>
    <row r="35" spans="1:15" ht="19.5" customHeight="1">
      <c r="A35" s="193">
        <v>29</v>
      </c>
      <c r="B35" s="496">
        <v>191410</v>
      </c>
      <c r="C35" s="497"/>
      <c r="D35" s="432">
        <v>200858</v>
      </c>
      <c r="E35" s="426">
        <v>0</v>
      </c>
      <c r="F35" s="387">
        <v>16.4</v>
      </c>
      <c r="G35" s="387">
        <v>7.8</v>
      </c>
      <c r="H35" s="382">
        <v>3.1</v>
      </c>
      <c r="I35" s="382">
        <v>1</v>
      </c>
      <c r="J35" s="382">
        <v>0</v>
      </c>
      <c r="K35" s="382">
        <v>12</v>
      </c>
      <c r="L35" s="382">
        <v>12</v>
      </c>
      <c r="M35" s="382"/>
      <c r="N35" s="382">
        <v>24</v>
      </c>
      <c r="O35" s="382">
        <v>0</v>
      </c>
    </row>
    <row r="36" spans="1:15" ht="19.5" customHeight="1">
      <c r="A36" s="193">
        <v>30</v>
      </c>
      <c r="B36" s="496">
        <v>215638</v>
      </c>
      <c r="C36" s="497"/>
      <c r="D36" s="432">
        <v>209542</v>
      </c>
      <c r="E36" s="426">
        <v>0.16</v>
      </c>
      <c r="F36" s="387">
        <v>9.4</v>
      </c>
      <c r="G36" s="387">
        <v>7.8</v>
      </c>
      <c r="H36" s="382">
        <v>3</v>
      </c>
      <c r="I36" s="382">
        <v>1</v>
      </c>
      <c r="J36" s="382">
        <v>7.5</v>
      </c>
      <c r="K36" s="382">
        <v>12</v>
      </c>
      <c r="L36" s="382">
        <v>12</v>
      </c>
      <c r="M36" s="382"/>
      <c r="N36" s="382">
        <v>24</v>
      </c>
      <c r="O36" s="382">
        <v>0</v>
      </c>
    </row>
    <row r="37" spans="1:15" ht="19.5" customHeight="1">
      <c r="A37" s="193"/>
      <c r="B37" s="496"/>
      <c r="C37" s="497"/>
      <c r="D37" s="432"/>
      <c r="E37" s="426"/>
      <c r="F37" s="387"/>
      <c r="G37" s="387"/>
      <c r="H37" s="382"/>
      <c r="I37" s="382"/>
      <c r="J37" s="382"/>
      <c r="K37" s="382"/>
      <c r="L37" s="382"/>
      <c r="M37" s="382"/>
      <c r="N37" s="382"/>
      <c r="O37" s="382"/>
    </row>
    <row r="38" spans="1:15" ht="19.5" customHeight="1">
      <c r="A38" s="193"/>
      <c r="B38" s="496"/>
      <c r="C38" s="497"/>
      <c r="D38" s="432"/>
      <c r="E38" s="426"/>
      <c r="F38" s="382"/>
      <c r="G38" s="387"/>
      <c r="H38" s="382"/>
      <c r="I38" s="382"/>
      <c r="J38" s="382"/>
      <c r="K38" s="382"/>
      <c r="L38" s="382"/>
      <c r="M38" s="382"/>
      <c r="N38" s="382"/>
      <c r="O38" s="382"/>
    </row>
    <row r="39" spans="1:15" ht="24.75" customHeight="1">
      <c r="A39" s="215" t="s">
        <v>199</v>
      </c>
      <c r="B39" s="494">
        <v>6808022</v>
      </c>
      <c r="C39" s="495"/>
      <c r="D39" s="492">
        <v>6843348</v>
      </c>
      <c r="E39" s="384">
        <f>SUM(E8:E38)</f>
        <v>3.07</v>
      </c>
      <c r="F39" s="384">
        <v>520.8</v>
      </c>
      <c r="G39" s="384">
        <v>234</v>
      </c>
      <c r="H39" s="427">
        <v>103.7</v>
      </c>
      <c r="I39" s="427">
        <v>30</v>
      </c>
      <c r="J39" s="427">
        <f>SUM(J8:J38)</f>
        <v>74.5</v>
      </c>
      <c r="K39" s="427">
        <v>360</v>
      </c>
      <c r="L39" s="427">
        <v>360</v>
      </c>
      <c r="M39" s="427"/>
      <c r="N39" s="427">
        <v>720</v>
      </c>
      <c r="O39" s="427">
        <f>SUM(O8:O38)</f>
        <v>0</v>
      </c>
    </row>
    <row r="40" ht="39" customHeight="1"/>
  </sheetData>
  <sheetProtection/>
  <mergeCells count="42">
    <mergeCell ref="B35:C35"/>
    <mergeCell ref="B38:C38"/>
    <mergeCell ref="B36:C36"/>
    <mergeCell ref="B37:C37"/>
    <mergeCell ref="B33:C33"/>
    <mergeCell ref="B34:C34"/>
    <mergeCell ref="B31:C31"/>
    <mergeCell ref="B32:C32"/>
    <mergeCell ref="B29:C29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1:C11"/>
    <mergeCell ref="B12:C12"/>
    <mergeCell ref="B17:C17"/>
    <mergeCell ref="B18:C18"/>
    <mergeCell ref="B15:C15"/>
    <mergeCell ref="B16:C16"/>
    <mergeCell ref="A1:O1"/>
    <mergeCell ref="A2:O2"/>
    <mergeCell ref="K4:M4"/>
    <mergeCell ref="N4:O4"/>
    <mergeCell ref="B4:C4"/>
    <mergeCell ref="A3:O3"/>
    <mergeCell ref="B39:C39"/>
    <mergeCell ref="A4:A6"/>
    <mergeCell ref="B7:C7"/>
    <mergeCell ref="B5:C5"/>
    <mergeCell ref="B6:C6"/>
    <mergeCell ref="B8:C8"/>
    <mergeCell ref="B9:C9"/>
    <mergeCell ref="B10:C10"/>
    <mergeCell ref="B13:C13"/>
    <mergeCell ref="B14:C14"/>
  </mergeCells>
  <printOptions/>
  <pageMargins left="0" right="0" top="0" bottom="0" header="0" footer="0"/>
  <pageSetup fitToHeight="1" fitToWidth="1" horizontalDpi="120" verticalDpi="120" orientation="landscape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"/>
  <sheetViews>
    <sheetView zoomScale="50" zoomScaleNormal="50" zoomScalePageLayoutView="0" workbookViewId="0" topLeftCell="A1">
      <selection activeCell="A1" sqref="A1:IV1"/>
    </sheetView>
  </sheetViews>
  <sheetFormatPr defaultColWidth="11.421875" defaultRowHeight="24.75" customHeight="1"/>
  <cols>
    <col min="1" max="1" width="28.57421875" style="150" customWidth="1"/>
    <col min="2" max="2" width="19.57421875" style="150" customWidth="1"/>
    <col min="3" max="3" width="22.57421875" style="150" customWidth="1"/>
    <col min="4" max="4" width="16.57421875" style="150" customWidth="1"/>
    <col min="5" max="5" width="22.57421875" style="150" customWidth="1"/>
    <col min="6" max="6" width="15.8515625" style="150" customWidth="1"/>
    <col min="7" max="7" width="22.28125" style="150" customWidth="1"/>
    <col min="8" max="8" width="23.28125" style="150" customWidth="1"/>
    <col min="9" max="9" width="19.7109375" style="150" customWidth="1"/>
    <col min="10" max="10" width="20.28125" style="150" customWidth="1"/>
    <col min="11" max="11" width="19.28125" style="150" customWidth="1"/>
    <col min="12" max="12" width="15.28125" style="150" customWidth="1"/>
    <col min="13" max="13" width="15.421875" style="150" customWidth="1"/>
    <col min="14" max="14" width="15.28125" style="150" customWidth="1"/>
    <col min="15" max="15" width="16.00390625" style="150" customWidth="1"/>
    <col min="16" max="16" width="14.57421875" style="150" customWidth="1"/>
    <col min="17" max="17" width="17.140625" style="150" customWidth="1"/>
    <col min="18" max="18" width="13.28125" style="150" customWidth="1"/>
    <col min="19" max="19" width="12.140625" style="150" customWidth="1"/>
    <col min="20" max="20" width="11.8515625" style="150" customWidth="1"/>
    <col min="21" max="21" width="14.00390625" style="150" customWidth="1"/>
    <col min="22" max="22" width="12.8515625" style="150" customWidth="1"/>
    <col min="23" max="23" width="13.28125" style="150" customWidth="1"/>
    <col min="24" max="28" width="11.421875" style="150" customWidth="1"/>
    <col min="29" max="29" width="30.7109375" style="150" customWidth="1"/>
    <col min="30" max="16384" width="11.421875" style="150" customWidth="1"/>
  </cols>
  <sheetData>
    <row r="1" spans="1:30" ht="24.75" customHeight="1" thickBot="1">
      <c r="A1" s="729" t="s">
        <v>415</v>
      </c>
      <c r="B1" s="730"/>
      <c r="C1" s="730"/>
      <c r="D1" s="730"/>
      <c r="E1" s="730"/>
      <c r="F1" s="730"/>
      <c r="G1" s="730"/>
      <c r="H1" s="367"/>
      <c r="I1" s="367"/>
      <c r="J1" s="367"/>
      <c r="K1" s="368"/>
      <c r="L1" s="654"/>
      <c r="AC1" s="149" t="s">
        <v>205</v>
      </c>
      <c r="AD1" s="151">
        <f>+B23</f>
        <v>0</v>
      </c>
    </row>
    <row r="2" spans="1:30" ht="24.75" customHeight="1" thickBot="1" thickTop="1">
      <c r="A2" s="657" t="s">
        <v>274</v>
      </c>
      <c r="B2" s="658"/>
      <c r="C2" s="658"/>
      <c r="D2" s="658"/>
      <c r="E2" s="658"/>
      <c r="F2" s="658"/>
      <c r="G2" s="658"/>
      <c r="H2" s="658"/>
      <c r="I2" s="658"/>
      <c r="J2" s="658"/>
      <c r="K2" s="659"/>
      <c r="L2" s="655"/>
      <c r="AC2" s="149" t="s">
        <v>206</v>
      </c>
      <c r="AD2" s="151">
        <f>+C23</f>
        <v>0</v>
      </c>
    </row>
    <row r="3" spans="1:30" ht="24.75" customHeight="1" thickBot="1">
      <c r="A3" s="660" t="s">
        <v>275</v>
      </c>
      <c r="B3" s="661"/>
      <c r="C3" s="661"/>
      <c r="D3" s="661"/>
      <c r="E3" s="661"/>
      <c r="F3" s="662"/>
      <c r="G3" s="663" t="s">
        <v>276</v>
      </c>
      <c r="H3" s="663"/>
      <c r="I3" s="664"/>
      <c r="J3" s="664"/>
      <c r="K3" s="665"/>
      <c r="L3" s="655"/>
      <c r="AC3" s="149" t="s">
        <v>207</v>
      </c>
      <c r="AD3" s="151">
        <f>+E23</f>
        <v>0</v>
      </c>
    </row>
    <row r="4" spans="1:30" ht="24.75" customHeight="1" thickBot="1" thickTop="1">
      <c r="A4" s="670" t="s">
        <v>277</v>
      </c>
      <c r="B4" s="671"/>
      <c r="C4" s="671"/>
      <c r="D4" s="672"/>
      <c r="E4" s="673"/>
      <c r="F4" s="674"/>
      <c r="G4" s="152" t="s">
        <v>278</v>
      </c>
      <c r="H4" s="158">
        <f>+E6</f>
        <v>0</v>
      </c>
      <c r="I4" s="666"/>
      <c r="J4" s="666"/>
      <c r="K4" s="667"/>
      <c r="L4" s="655"/>
      <c r="AC4" s="149" t="s">
        <v>208</v>
      </c>
      <c r="AD4" s="151">
        <f>+F23</f>
        <v>0</v>
      </c>
    </row>
    <row r="5" spans="1:30" ht="24.75" customHeight="1" thickBot="1" thickTop="1">
      <c r="A5" s="670" t="s">
        <v>327</v>
      </c>
      <c r="B5" s="671"/>
      <c r="C5" s="671"/>
      <c r="D5" s="672"/>
      <c r="E5" s="675"/>
      <c r="F5" s="676"/>
      <c r="G5" s="152" t="s">
        <v>279</v>
      </c>
      <c r="H5" s="159"/>
      <c r="I5" s="666"/>
      <c r="J5" s="666"/>
      <c r="K5" s="667"/>
      <c r="L5" s="655"/>
      <c r="AC5" s="149" t="s">
        <v>209</v>
      </c>
      <c r="AD5" s="151">
        <f>+G23</f>
        <v>0</v>
      </c>
    </row>
    <row r="6" spans="1:30" ht="24.75" customHeight="1" thickBot="1" thickTop="1">
      <c r="A6" s="670" t="s">
        <v>280</v>
      </c>
      <c r="B6" s="671"/>
      <c r="C6" s="671"/>
      <c r="D6" s="672"/>
      <c r="E6" s="677"/>
      <c r="F6" s="678"/>
      <c r="G6" s="152" t="s">
        <v>281</v>
      </c>
      <c r="H6" s="159"/>
      <c r="I6" s="666"/>
      <c r="J6" s="666"/>
      <c r="K6" s="667"/>
      <c r="L6" s="655"/>
      <c r="AC6" s="149" t="s">
        <v>210</v>
      </c>
      <c r="AD6" s="151">
        <f>+H23</f>
        <v>0</v>
      </c>
    </row>
    <row r="7" spans="1:30" ht="24.75" customHeight="1" thickBot="1" thickTop="1">
      <c r="A7" s="670" t="s">
        <v>282</v>
      </c>
      <c r="B7" s="671"/>
      <c r="C7" s="671"/>
      <c r="D7" s="672"/>
      <c r="E7" s="677"/>
      <c r="F7" s="678"/>
      <c r="G7" s="160" t="s">
        <v>283</v>
      </c>
      <c r="H7" s="161"/>
      <c r="I7" s="666"/>
      <c r="J7" s="666"/>
      <c r="K7" s="667"/>
      <c r="L7" s="655"/>
      <c r="AC7" s="149" t="s">
        <v>211</v>
      </c>
      <c r="AD7" s="151">
        <f>+I23</f>
        <v>0</v>
      </c>
    </row>
    <row r="8" spans="1:30" ht="24.75" customHeight="1" thickBot="1" thickTop="1">
      <c r="A8" s="670" t="s">
        <v>284</v>
      </c>
      <c r="B8" s="671"/>
      <c r="C8" s="671"/>
      <c r="D8" s="672"/>
      <c r="E8" s="680"/>
      <c r="F8" s="681"/>
      <c r="G8" s="682" t="s">
        <v>285</v>
      </c>
      <c r="H8" s="683"/>
      <c r="I8" s="666"/>
      <c r="J8" s="666"/>
      <c r="K8" s="667"/>
      <c r="L8" s="655"/>
      <c r="AC8" s="149" t="s">
        <v>212</v>
      </c>
      <c r="AD8" s="151">
        <f>+J23</f>
        <v>0</v>
      </c>
    </row>
    <row r="9" spans="1:30" ht="24.75" customHeight="1" thickBot="1" thickTop="1">
      <c r="A9" s="684" t="s">
        <v>286</v>
      </c>
      <c r="B9" s="685"/>
      <c r="C9" s="685"/>
      <c r="D9" s="685"/>
      <c r="E9" s="686"/>
      <c r="F9" s="687"/>
      <c r="G9" s="690"/>
      <c r="H9" s="691"/>
      <c r="I9" s="666"/>
      <c r="J9" s="666"/>
      <c r="K9" s="667"/>
      <c r="L9" s="655"/>
      <c r="AC9" s="149" t="s">
        <v>213</v>
      </c>
      <c r="AD9" s="151">
        <f>+K23</f>
        <v>0</v>
      </c>
    </row>
    <row r="10" spans="1:30" ht="24.75" customHeight="1" thickBot="1">
      <c r="A10" s="154" t="s">
        <v>292</v>
      </c>
      <c r="B10" s="162"/>
      <c r="C10" s="155" t="s">
        <v>293</v>
      </c>
      <c r="D10" s="162"/>
      <c r="E10" s="688"/>
      <c r="F10" s="689"/>
      <c r="G10" s="692"/>
      <c r="H10" s="693"/>
      <c r="I10" s="666"/>
      <c r="J10" s="666"/>
      <c r="K10" s="667"/>
      <c r="L10" s="655"/>
      <c r="AC10" s="149" t="s">
        <v>214</v>
      </c>
      <c r="AD10" s="151">
        <f>+L23</f>
        <v>0</v>
      </c>
    </row>
    <row r="11" spans="1:30" ht="24.75" customHeight="1" thickBot="1">
      <c r="A11" s="664"/>
      <c r="B11" s="664"/>
      <c r="C11" s="664"/>
      <c r="D11" s="664"/>
      <c r="E11" s="664"/>
      <c r="F11" s="665"/>
      <c r="G11" s="692"/>
      <c r="H11" s="693"/>
      <c r="I11" s="666"/>
      <c r="J11" s="668"/>
      <c r="K11" s="669"/>
      <c r="L11" s="656"/>
      <c r="AC11" s="149" t="s">
        <v>215</v>
      </c>
      <c r="AD11" s="151">
        <f>+B31</f>
        <v>0</v>
      </c>
    </row>
    <row r="12" spans="1:30" ht="39.75" customHeight="1" thickBot="1">
      <c r="A12" s="679" t="s">
        <v>287</v>
      </c>
      <c r="B12" s="679"/>
      <c r="C12" s="679"/>
      <c r="D12" s="679"/>
      <c r="E12" s="679"/>
      <c r="F12" s="679"/>
      <c r="G12" s="679"/>
      <c r="H12" s="679"/>
      <c r="I12" s="679"/>
      <c r="J12" s="363"/>
      <c r="K12" s="363"/>
      <c r="L12" s="364"/>
      <c r="AC12" s="149"/>
      <c r="AD12" s="151"/>
    </row>
    <row r="13" spans="1:30" ht="39.75" customHeight="1">
      <c r="A13" s="696"/>
      <c r="B13" s="696"/>
      <c r="C13" s="696"/>
      <c r="D13" s="696"/>
      <c r="E13" s="696"/>
      <c r="F13" s="696"/>
      <c r="G13" s="696"/>
      <c r="H13" s="694" t="s">
        <v>288</v>
      </c>
      <c r="I13" s="694"/>
      <c r="J13" s="309"/>
      <c r="K13" s="309"/>
      <c r="L13" s="309"/>
      <c r="AC13" s="149" t="s">
        <v>216</v>
      </c>
      <c r="AD13" s="151">
        <f>+C31</f>
        <v>0</v>
      </c>
    </row>
    <row r="14" spans="1:30" ht="39.75" customHeight="1">
      <c r="A14" s="696"/>
      <c r="B14" s="696"/>
      <c r="C14" s="696"/>
      <c r="D14" s="696"/>
      <c r="E14" s="696"/>
      <c r="F14" s="696"/>
      <c r="G14" s="696"/>
      <c r="H14" s="371"/>
      <c r="I14" s="372"/>
      <c r="J14" s="309"/>
      <c r="K14" s="309"/>
      <c r="L14" s="309"/>
      <c r="AC14" s="149" t="s">
        <v>217</v>
      </c>
      <c r="AD14" s="151">
        <f>+D31</f>
        <v>0</v>
      </c>
    </row>
    <row r="15" spans="1:30" ht="39.75" customHeight="1">
      <c r="A15" s="695" t="s">
        <v>324</v>
      </c>
      <c r="B15" s="695"/>
      <c r="C15" s="695"/>
      <c r="D15" s="695"/>
      <c r="E15" s="695"/>
      <c r="F15" s="695"/>
      <c r="G15" s="695"/>
      <c r="H15" s="695" t="s">
        <v>276</v>
      </c>
      <c r="I15" s="695"/>
      <c r="J15" s="309"/>
      <c r="K15" s="309"/>
      <c r="L15" s="309"/>
      <c r="AC15" s="149" t="s">
        <v>218</v>
      </c>
      <c r="AD15" s="151">
        <f>+E31</f>
        <v>0</v>
      </c>
    </row>
    <row r="16" spans="1:30" ht="39.75" customHeight="1">
      <c r="A16" s="374"/>
      <c r="B16" s="373" t="s">
        <v>289</v>
      </c>
      <c r="C16" s="373" t="s">
        <v>352</v>
      </c>
      <c r="D16" s="373" t="s">
        <v>437</v>
      </c>
      <c r="E16" s="373" t="s">
        <v>438</v>
      </c>
      <c r="F16" s="373" t="s">
        <v>393</v>
      </c>
      <c r="G16" s="373" t="s">
        <v>363</v>
      </c>
      <c r="H16" s="373" t="s">
        <v>290</v>
      </c>
      <c r="I16" s="373" t="s">
        <v>291</v>
      </c>
      <c r="J16" s="309"/>
      <c r="K16" s="309"/>
      <c r="L16" s="309"/>
      <c r="AC16" s="149" t="s">
        <v>219</v>
      </c>
      <c r="AD16" s="151">
        <f>+F31</f>
        <v>0</v>
      </c>
    </row>
    <row r="17" spans="1:30" ht="39.75" customHeight="1">
      <c r="A17" s="373" t="s">
        <v>294</v>
      </c>
      <c r="B17" s="314"/>
      <c r="C17" s="314"/>
      <c r="D17" s="314"/>
      <c r="E17" s="314"/>
      <c r="F17" s="314"/>
      <c r="G17" s="314"/>
      <c r="H17" s="314"/>
      <c r="I17" s="314"/>
      <c r="J17" s="309"/>
      <c r="K17" s="309"/>
      <c r="L17" s="309"/>
      <c r="AC17" s="149" t="s">
        <v>220</v>
      </c>
      <c r="AD17" s="151">
        <f>+G31</f>
        <v>0</v>
      </c>
    </row>
    <row r="18" spans="1:30" ht="39.75" customHeight="1">
      <c r="A18" s="373" t="s">
        <v>351</v>
      </c>
      <c r="B18" s="315">
        <v>1</v>
      </c>
      <c r="C18" s="315">
        <v>2</v>
      </c>
      <c r="D18" s="315">
        <v>3</v>
      </c>
      <c r="E18" s="315">
        <v>4</v>
      </c>
      <c r="F18" s="315">
        <v>5</v>
      </c>
      <c r="G18" s="315">
        <v>6</v>
      </c>
      <c r="H18" s="315" t="s">
        <v>356</v>
      </c>
      <c r="I18" s="315" t="s">
        <v>357</v>
      </c>
      <c r="J18" s="309"/>
      <c r="K18" s="309"/>
      <c r="L18" s="309"/>
      <c r="AC18" s="149" t="s">
        <v>221</v>
      </c>
      <c r="AD18" s="151">
        <f>+H31</f>
        <v>0</v>
      </c>
    </row>
    <row r="19" spans="1:30" ht="39.75" customHeight="1">
      <c r="A19" s="373" t="s">
        <v>355</v>
      </c>
      <c r="B19" s="316"/>
      <c r="C19" s="316"/>
      <c r="D19" s="316"/>
      <c r="E19" s="316"/>
      <c r="F19" s="316"/>
      <c r="G19" s="316"/>
      <c r="H19" s="316"/>
      <c r="I19" s="316"/>
      <c r="J19" s="309"/>
      <c r="K19" s="309"/>
      <c r="L19" s="309"/>
      <c r="AC19" s="149" t="s">
        <v>222</v>
      </c>
      <c r="AD19" s="151">
        <f>+I31</f>
        <v>0</v>
      </c>
    </row>
    <row r="20" spans="1:30" ht="39.75" customHeight="1">
      <c r="A20" s="373" t="s">
        <v>353</v>
      </c>
      <c r="B20" s="318"/>
      <c r="C20" s="318"/>
      <c r="D20" s="318"/>
      <c r="E20" s="318"/>
      <c r="F20" s="318"/>
      <c r="G20" s="318"/>
      <c r="H20" s="318"/>
      <c r="I20" s="318"/>
      <c r="J20" s="309"/>
      <c r="K20" s="309"/>
      <c r="L20" s="309"/>
      <c r="AC20" s="149" t="s">
        <v>223</v>
      </c>
      <c r="AD20" s="151">
        <f>+J31</f>
        <v>0</v>
      </c>
    </row>
    <row r="21" spans="1:30" ht="39.75" customHeight="1">
      <c r="A21" s="373" t="s">
        <v>354</v>
      </c>
      <c r="B21" s="318"/>
      <c r="C21" s="318"/>
      <c r="D21" s="318"/>
      <c r="E21" s="318"/>
      <c r="F21" s="318"/>
      <c r="G21" s="318"/>
      <c r="H21" s="318"/>
      <c r="I21" s="318"/>
      <c r="J21" s="309"/>
      <c r="K21" s="309"/>
      <c r="L21" s="309"/>
      <c r="AC21" s="149" t="s">
        <v>224</v>
      </c>
      <c r="AD21" s="151">
        <f>+K31</f>
        <v>0</v>
      </c>
    </row>
    <row r="22" spans="1:30" ht="39.75" customHeight="1">
      <c r="A22" s="373" t="s">
        <v>295</v>
      </c>
      <c r="B22" s="375"/>
      <c r="C22" s="375"/>
      <c r="D22" s="375"/>
      <c r="E22" s="375"/>
      <c r="F22" s="375"/>
      <c r="G22" s="375"/>
      <c r="H22" s="375"/>
      <c r="I22" s="375"/>
      <c r="J22" s="309"/>
      <c r="K22" s="309"/>
      <c r="L22" s="309"/>
      <c r="AC22" s="149" t="s">
        <v>225</v>
      </c>
      <c r="AD22" s="151">
        <f>+B38</f>
        <v>0</v>
      </c>
    </row>
    <row r="23" spans="1:30" ht="39.75" customHeight="1">
      <c r="A23" s="373" t="s">
        <v>296</v>
      </c>
      <c r="B23" s="369"/>
      <c r="C23" s="369"/>
      <c r="D23" s="369"/>
      <c r="E23" s="369"/>
      <c r="F23" s="369"/>
      <c r="G23" s="369"/>
      <c r="H23" s="369"/>
      <c r="I23" s="369"/>
      <c r="J23" s="309"/>
      <c r="K23" s="309"/>
      <c r="L23" s="309"/>
      <c r="AC23" s="149" t="s">
        <v>226</v>
      </c>
      <c r="AD23" s="151">
        <f>+C38</f>
        <v>0</v>
      </c>
    </row>
    <row r="24" spans="1:30" ht="39.75" customHeight="1">
      <c r="A24" s="373" t="s">
        <v>349</v>
      </c>
      <c r="B24" s="376"/>
      <c r="C24" s="376"/>
      <c r="D24" s="376"/>
      <c r="E24" s="376"/>
      <c r="F24" s="376"/>
      <c r="G24" s="376"/>
      <c r="H24" s="376"/>
      <c r="I24" s="376"/>
      <c r="J24" s="309"/>
      <c r="K24" s="309"/>
      <c r="L24" s="309"/>
      <c r="AC24" s="149" t="s">
        <v>227</v>
      </c>
      <c r="AD24" s="151">
        <f>+D38</f>
        <v>0</v>
      </c>
    </row>
    <row r="25" ht="34.5" customHeight="1"/>
    <row r="26" spans="1:30" ht="24.75" customHeight="1">
      <c r="A26" s="694" t="s">
        <v>297</v>
      </c>
      <c r="B26" s="694"/>
      <c r="C26" s="694"/>
      <c r="D26" s="694"/>
      <c r="E26" s="694"/>
      <c r="F26" s="694"/>
      <c r="G26" s="694"/>
      <c r="H26" s="694"/>
      <c r="I26" s="309"/>
      <c r="J26" s="309"/>
      <c r="K26" s="309"/>
      <c r="L26" s="323"/>
      <c r="AC26" s="149" t="s">
        <v>228</v>
      </c>
      <c r="AD26" s="151">
        <f>+F38</f>
        <v>0</v>
      </c>
    </row>
    <row r="27" spans="1:30" ht="24.75" customHeight="1">
      <c r="A27" s="695" t="s">
        <v>324</v>
      </c>
      <c r="B27" s="695"/>
      <c r="C27" s="695"/>
      <c r="D27" s="695"/>
      <c r="E27" s="695"/>
      <c r="F27" s="695"/>
      <c r="G27" s="695" t="s">
        <v>276</v>
      </c>
      <c r="H27" s="695"/>
      <c r="I27" s="309"/>
      <c r="J27" s="309"/>
      <c r="K27" s="309"/>
      <c r="L27" s="323"/>
      <c r="AC27" s="149" t="s">
        <v>229</v>
      </c>
      <c r="AD27" s="151">
        <f>+G38</f>
        <v>0</v>
      </c>
    </row>
    <row r="28" spans="1:30" ht="24.75" customHeight="1">
      <c r="A28" s="374"/>
      <c r="B28" s="373" t="s">
        <v>289</v>
      </c>
      <c r="C28" s="373" t="s">
        <v>352</v>
      </c>
      <c r="D28" s="373" t="s">
        <v>435</v>
      </c>
      <c r="E28" s="373" t="s">
        <v>436</v>
      </c>
      <c r="F28" s="373" t="s">
        <v>298</v>
      </c>
      <c r="G28" s="373" t="s">
        <v>290</v>
      </c>
      <c r="H28" s="373" t="s">
        <v>291</v>
      </c>
      <c r="I28" s="309"/>
      <c r="J28" s="309"/>
      <c r="K28" s="309"/>
      <c r="L28" s="323"/>
      <c r="AC28" s="149" t="s">
        <v>230</v>
      </c>
      <c r="AD28" s="151">
        <f>+H38</f>
        <v>0</v>
      </c>
    </row>
    <row r="29" spans="1:30" ht="24.75" customHeight="1">
      <c r="A29" s="373" t="s">
        <v>299</v>
      </c>
      <c r="B29" s="314"/>
      <c r="C29" s="314"/>
      <c r="D29" s="314"/>
      <c r="E29" s="314"/>
      <c r="F29" s="314"/>
      <c r="G29" s="314"/>
      <c r="H29" s="314"/>
      <c r="I29" s="309"/>
      <c r="J29" s="309"/>
      <c r="K29" s="309"/>
      <c r="L29" s="323"/>
      <c r="AC29" s="149" t="s">
        <v>231</v>
      </c>
      <c r="AD29" s="151">
        <f>+I38</f>
        <v>0</v>
      </c>
    </row>
    <row r="30" spans="1:30" ht="24.75" customHeight="1">
      <c r="A30" s="373" t="s">
        <v>300</v>
      </c>
      <c r="B30" s="314"/>
      <c r="C30" s="314"/>
      <c r="D30" s="314"/>
      <c r="E30" s="314"/>
      <c r="F30" s="314"/>
      <c r="G30" s="314"/>
      <c r="H30" s="314"/>
      <c r="I30" s="309"/>
      <c r="J30" s="309"/>
      <c r="K30" s="309"/>
      <c r="L30" s="323"/>
      <c r="AC30" s="149" t="s">
        <v>232</v>
      </c>
      <c r="AD30" s="151">
        <f>+J38</f>
        <v>0</v>
      </c>
    </row>
    <row r="31" spans="1:30" ht="24.75" customHeight="1">
      <c r="A31" s="373" t="s">
        <v>301</v>
      </c>
      <c r="B31" s="369"/>
      <c r="C31" s="369"/>
      <c r="D31" s="369"/>
      <c r="E31" s="369"/>
      <c r="F31" s="369"/>
      <c r="G31" s="369"/>
      <c r="H31" s="369"/>
      <c r="I31" s="309"/>
      <c r="J31" s="309"/>
      <c r="K31" s="309"/>
      <c r="L31" s="323"/>
      <c r="AC31" s="149" t="s">
        <v>233</v>
      </c>
      <c r="AD31" s="151">
        <f>+K38</f>
        <v>0</v>
      </c>
    </row>
    <row r="32" spans="1:30" ht="24.75" customHeight="1">
      <c r="A32" s="373" t="str">
        <f>+A24</f>
        <v>Max Value</v>
      </c>
      <c r="B32" s="377"/>
      <c r="C32" s="377"/>
      <c r="D32" s="377"/>
      <c r="E32" s="376"/>
      <c r="F32" s="376"/>
      <c r="G32" s="376"/>
      <c r="H32" s="376"/>
      <c r="I32" s="309"/>
      <c r="J32" s="309"/>
      <c r="K32" s="309"/>
      <c r="L32" s="323"/>
      <c r="AC32" s="149" t="s">
        <v>234</v>
      </c>
      <c r="AD32" s="151">
        <f>+B45</f>
        <v>0</v>
      </c>
    </row>
    <row r="33" spans="1:30" ht="24.75" customHeight="1">
      <c r="A33" s="374"/>
      <c r="B33" s="374"/>
      <c r="C33" s="374"/>
      <c r="D33" s="374"/>
      <c r="E33" s="374"/>
      <c r="F33" s="374"/>
      <c r="G33" s="374"/>
      <c r="H33" s="374"/>
      <c r="I33" s="322"/>
      <c r="J33" s="322"/>
      <c r="K33" s="309"/>
      <c r="L33" s="323"/>
      <c r="AC33" s="149" t="s">
        <v>235</v>
      </c>
      <c r="AD33" s="151">
        <f>+C45</f>
        <v>0</v>
      </c>
    </row>
    <row r="34" spans="1:30" ht="24.75" customHeight="1">
      <c r="A34" s="694" t="s">
        <v>302</v>
      </c>
      <c r="B34" s="694"/>
      <c r="C34" s="694"/>
      <c r="D34" s="694"/>
      <c r="E34" s="694"/>
      <c r="F34" s="694"/>
      <c r="G34" s="694"/>
      <c r="H34" s="694"/>
      <c r="I34" s="309"/>
      <c r="J34" s="309"/>
      <c r="K34" s="309"/>
      <c r="L34" s="323"/>
      <c r="AC34" s="149" t="s">
        <v>236</v>
      </c>
      <c r="AD34" s="151">
        <f>+D45</f>
        <v>0</v>
      </c>
    </row>
    <row r="35" spans="1:30" ht="24.75" customHeight="1">
      <c r="A35" s="695" t="s">
        <v>324</v>
      </c>
      <c r="B35" s="695"/>
      <c r="C35" s="695"/>
      <c r="D35" s="695"/>
      <c r="E35" s="695"/>
      <c r="F35" s="695"/>
      <c r="G35" s="695" t="s">
        <v>276</v>
      </c>
      <c r="H35" s="695"/>
      <c r="I35" s="309"/>
      <c r="J35" s="309"/>
      <c r="K35" s="309"/>
      <c r="L35" s="323"/>
      <c r="AC35" s="149" t="s">
        <v>237</v>
      </c>
      <c r="AD35" s="151">
        <f>+E45</f>
        <v>0</v>
      </c>
    </row>
    <row r="36" spans="1:30" ht="24.75" customHeight="1">
      <c r="A36" s="374"/>
      <c r="B36" s="373" t="s">
        <v>289</v>
      </c>
      <c r="C36" s="373" t="s">
        <v>352</v>
      </c>
      <c r="D36" s="373" t="s">
        <v>435</v>
      </c>
      <c r="E36" s="373" t="s">
        <v>436</v>
      </c>
      <c r="F36" s="373" t="s">
        <v>298</v>
      </c>
      <c r="G36" s="373" t="s">
        <v>290</v>
      </c>
      <c r="H36" s="373" t="s">
        <v>291</v>
      </c>
      <c r="I36" s="309"/>
      <c r="J36" s="309"/>
      <c r="K36" s="309"/>
      <c r="L36" s="323"/>
      <c r="AC36" s="149" t="s">
        <v>238</v>
      </c>
      <c r="AD36" s="151">
        <f>+F45</f>
        <v>0</v>
      </c>
    </row>
    <row r="37" spans="1:30" ht="24.75" customHeight="1">
      <c r="A37" s="373" t="s">
        <v>303</v>
      </c>
      <c r="B37" s="314"/>
      <c r="C37" s="314"/>
      <c r="D37" s="314"/>
      <c r="E37" s="314"/>
      <c r="F37" s="314"/>
      <c r="G37" s="314"/>
      <c r="H37" s="314"/>
      <c r="I37" s="309"/>
      <c r="J37" s="309"/>
      <c r="K37" s="309"/>
      <c r="L37" s="323"/>
      <c r="AC37" s="149" t="s">
        <v>239</v>
      </c>
      <c r="AD37" s="151">
        <f>+G45</f>
        <v>0</v>
      </c>
    </row>
    <row r="38" spans="1:30" ht="24.75" customHeight="1">
      <c r="A38" s="373" t="s">
        <v>304</v>
      </c>
      <c r="B38" s="378"/>
      <c r="C38" s="378"/>
      <c r="D38" s="378"/>
      <c r="E38" s="378"/>
      <c r="F38" s="378"/>
      <c r="G38" s="378"/>
      <c r="H38" s="378"/>
      <c r="I38" s="309"/>
      <c r="J38" s="309"/>
      <c r="K38" s="309"/>
      <c r="L38" s="323"/>
      <c r="AC38" s="149" t="s">
        <v>240</v>
      </c>
      <c r="AD38" s="151">
        <f>+H45</f>
        <v>0</v>
      </c>
    </row>
    <row r="39" spans="1:30" ht="24.75" customHeight="1">
      <c r="A39" s="373" t="str">
        <f>+A24</f>
        <v>Max Value</v>
      </c>
      <c r="B39" s="377"/>
      <c r="C39" s="377"/>
      <c r="D39" s="377"/>
      <c r="E39" s="377"/>
      <c r="F39" s="377"/>
      <c r="G39" s="377"/>
      <c r="H39" s="377"/>
      <c r="I39" s="309"/>
      <c r="J39" s="309"/>
      <c r="K39" s="309"/>
      <c r="L39" s="323"/>
      <c r="AC39" s="149" t="s">
        <v>241</v>
      </c>
      <c r="AD39" s="151">
        <f>+I45</f>
        <v>0</v>
      </c>
    </row>
    <row r="40" spans="1:30" ht="24.75" customHeight="1">
      <c r="A40" s="374"/>
      <c r="B40" s="374"/>
      <c r="C40" s="374"/>
      <c r="D40" s="374"/>
      <c r="E40" s="374"/>
      <c r="F40" s="374"/>
      <c r="G40" s="374"/>
      <c r="H40" s="374"/>
      <c r="I40" s="322"/>
      <c r="J40" s="322"/>
      <c r="K40" s="325"/>
      <c r="L40" s="323"/>
      <c r="AC40" s="149" t="s">
        <v>242</v>
      </c>
      <c r="AD40" s="151">
        <f>+J45</f>
        <v>0</v>
      </c>
    </row>
    <row r="41" spans="1:30" ht="24.75" customHeight="1">
      <c r="A41" s="694" t="s">
        <v>305</v>
      </c>
      <c r="B41" s="694"/>
      <c r="C41" s="694"/>
      <c r="D41" s="694"/>
      <c r="E41" s="694"/>
      <c r="F41" s="694"/>
      <c r="G41" s="694"/>
      <c r="H41" s="694"/>
      <c r="I41" s="309"/>
      <c r="J41" s="309"/>
      <c r="K41" s="309"/>
      <c r="L41" s="323"/>
      <c r="AC41" s="149" t="s">
        <v>243</v>
      </c>
      <c r="AD41" s="151">
        <f>+K45</f>
        <v>0</v>
      </c>
    </row>
    <row r="42" spans="1:30" ht="24.75" customHeight="1">
      <c r="A42" s="695" t="s">
        <v>324</v>
      </c>
      <c r="B42" s="695"/>
      <c r="C42" s="695"/>
      <c r="D42" s="695"/>
      <c r="E42" s="695"/>
      <c r="F42" s="695"/>
      <c r="G42" s="695" t="s">
        <v>276</v>
      </c>
      <c r="H42" s="695"/>
      <c r="I42" s="309"/>
      <c r="J42" s="309"/>
      <c r="K42" s="309"/>
      <c r="L42" s="323"/>
      <c r="AC42" s="149" t="s">
        <v>244</v>
      </c>
      <c r="AD42" s="151">
        <f>+B61</f>
        <v>0</v>
      </c>
    </row>
    <row r="43" spans="1:30" ht="24.75" customHeight="1">
      <c r="A43" s="374"/>
      <c r="B43" s="373" t="s">
        <v>289</v>
      </c>
      <c r="C43" s="373" t="s">
        <v>352</v>
      </c>
      <c r="D43" s="373" t="s">
        <v>435</v>
      </c>
      <c r="E43" s="373" t="s">
        <v>436</v>
      </c>
      <c r="F43" s="373" t="s">
        <v>363</v>
      </c>
      <c r="G43" s="373" t="s">
        <v>290</v>
      </c>
      <c r="H43" s="373" t="s">
        <v>291</v>
      </c>
      <c r="I43" s="309"/>
      <c r="J43" s="309"/>
      <c r="K43" s="309"/>
      <c r="L43" s="323"/>
      <c r="AC43" s="149" t="s">
        <v>245</v>
      </c>
      <c r="AD43" s="151">
        <f>+C61</f>
        <v>0</v>
      </c>
    </row>
    <row r="44" spans="1:30" ht="24.75" customHeight="1">
      <c r="A44" s="373" t="s">
        <v>303</v>
      </c>
      <c r="B44" s="314"/>
      <c r="C44" s="314"/>
      <c r="D44" s="314"/>
      <c r="E44" s="314"/>
      <c r="F44" s="314"/>
      <c r="G44" s="314"/>
      <c r="H44" s="314"/>
      <c r="I44" s="309"/>
      <c r="J44" s="309"/>
      <c r="K44" s="309"/>
      <c r="L44" s="323"/>
      <c r="AC44" s="149" t="s">
        <v>246</v>
      </c>
      <c r="AD44" s="151">
        <f>+E61</f>
        <v>0</v>
      </c>
    </row>
    <row r="45" spans="1:30" ht="24.75" customHeight="1">
      <c r="A45" s="373" t="s">
        <v>306</v>
      </c>
      <c r="B45" s="369"/>
      <c r="C45" s="369"/>
      <c r="D45" s="369"/>
      <c r="E45" s="369"/>
      <c r="F45" s="369"/>
      <c r="G45" s="369"/>
      <c r="H45" s="369"/>
      <c r="I45" s="309"/>
      <c r="J45" s="309"/>
      <c r="K45" s="309"/>
      <c r="L45" s="323"/>
      <c r="AC45" s="149" t="s">
        <v>247</v>
      </c>
      <c r="AD45" s="151">
        <f>+G61</f>
        <v>0</v>
      </c>
    </row>
    <row r="46" spans="1:30" ht="24.75" customHeight="1">
      <c r="A46" s="373" t="str">
        <f>+A24</f>
        <v>Max Value</v>
      </c>
      <c r="B46" s="379"/>
      <c r="C46" s="379"/>
      <c r="D46" s="379"/>
      <c r="E46" s="379"/>
      <c r="F46" s="379"/>
      <c r="G46" s="379"/>
      <c r="H46" s="379"/>
      <c r="I46" s="309"/>
      <c r="J46" s="309"/>
      <c r="K46" s="309"/>
      <c r="L46" s="323"/>
      <c r="AC46" s="149" t="s">
        <v>248</v>
      </c>
      <c r="AD46" s="151">
        <f>+J61</f>
        <v>0</v>
      </c>
    </row>
    <row r="47" spans="1:30" ht="24.75" customHeight="1" thickBot="1">
      <c r="A47" s="374"/>
      <c r="B47" s="374"/>
      <c r="C47" s="374"/>
      <c r="D47" s="374"/>
      <c r="E47" s="374"/>
      <c r="F47" s="374"/>
      <c r="G47" s="374"/>
      <c r="H47" s="374"/>
      <c r="I47" s="322"/>
      <c r="J47" s="322"/>
      <c r="K47" s="326"/>
      <c r="L47" s="323"/>
      <c r="AC47" s="149" t="s">
        <v>249</v>
      </c>
      <c r="AD47" s="151">
        <f>+L61</f>
        <v>0</v>
      </c>
    </row>
    <row r="48" spans="1:30" ht="60" customHeight="1" thickBot="1">
      <c r="A48" s="697" t="s">
        <v>308</v>
      </c>
      <c r="B48" s="698"/>
      <c r="C48" s="698"/>
      <c r="D48" s="698"/>
      <c r="E48" s="698"/>
      <c r="F48" s="698"/>
      <c r="G48" s="698"/>
      <c r="H48" s="698"/>
      <c r="I48" s="699"/>
      <c r="J48" s="700" t="s">
        <v>326</v>
      </c>
      <c r="K48" s="700"/>
      <c r="L48" s="309"/>
      <c r="M48"/>
      <c r="P48"/>
      <c r="Q48"/>
      <c r="R48"/>
      <c r="S48"/>
      <c r="T48"/>
      <c r="U48"/>
      <c r="V48"/>
      <c r="W48"/>
      <c r="X48"/>
      <c r="Y48"/>
      <c r="AC48" s="149" t="s">
        <v>250</v>
      </c>
      <c r="AD48" s="151">
        <f>+N61</f>
        <v>0</v>
      </c>
    </row>
    <row r="49" spans="1:30" ht="60" customHeight="1" thickBot="1">
      <c r="A49" s="703" t="s">
        <v>324</v>
      </c>
      <c r="B49" s="703"/>
      <c r="C49" s="703"/>
      <c r="D49" s="703"/>
      <c r="E49" s="703"/>
      <c r="F49" s="703"/>
      <c r="G49" s="703"/>
      <c r="H49" s="703"/>
      <c r="I49" s="702"/>
      <c r="J49" s="707" t="s">
        <v>276</v>
      </c>
      <c r="K49" s="707"/>
      <c r="L49" s="309"/>
      <c r="M49"/>
      <c r="N49"/>
      <c r="O49"/>
      <c r="P49"/>
      <c r="Q49"/>
      <c r="R49"/>
      <c r="S49"/>
      <c r="T49"/>
      <c r="U49"/>
      <c r="V49"/>
      <c r="W49"/>
      <c r="X49"/>
      <c r="Y49"/>
      <c r="AC49" s="149" t="s">
        <v>251</v>
      </c>
      <c r="AD49" s="151">
        <f>+P61</f>
        <v>0</v>
      </c>
    </row>
    <row r="50" spans="1:30" ht="60" customHeight="1" thickBot="1">
      <c r="A50" s="328"/>
      <c r="B50" s="327" t="s">
        <v>358</v>
      </c>
      <c r="C50" s="327" t="s">
        <v>359</v>
      </c>
      <c r="D50" s="327" t="s">
        <v>360</v>
      </c>
      <c r="E50" s="327" t="s">
        <v>292</v>
      </c>
      <c r="F50" s="327" t="s">
        <v>292</v>
      </c>
      <c r="G50" s="327" t="s">
        <v>293</v>
      </c>
      <c r="H50" s="327" t="s">
        <v>293</v>
      </c>
      <c r="I50" s="327" t="s">
        <v>293</v>
      </c>
      <c r="J50" s="327" t="s">
        <v>290</v>
      </c>
      <c r="K50" s="327" t="s">
        <v>291</v>
      </c>
      <c r="L50" s="329"/>
      <c r="M50" s="163"/>
      <c r="N50" s="163"/>
      <c r="O50" s="163"/>
      <c r="P50"/>
      <c r="Q50"/>
      <c r="R50"/>
      <c r="S50"/>
      <c r="T50"/>
      <c r="U50"/>
      <c r="V50"/>
      <c r="W50"/>
      <c r="X50"/>
      <c r="Y50"/>
      <c r="AC50" s="149" t="s">
        <v>252</v>
      </c>
      <c r="AD50" s="151">
        <f>+S61</f>
        <v>0</v>
      </c>
    </row>
    <row r="51" spans="1:30" ht="60" customHeight="1" thickBot="1">
      <c r="A51" s="330" t="s">
        <v>310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29"/>
      <c r="M51" s="163"/>
      <c r="N51" s="163"/>
      <c r="O51" s="163"/>
      <c r="P51"/>
      <c r="Q51"/>
      <c r="R51"/>
      <c r="S51"/>
      <c r="T51"/>
      <c r="U51"/>
      <c r="V51"/>
      <c r="W51"/>
      <c r="AC51" s="149" t="s">
        <v>253</v>
      </c>
      <c r="AD51" s="151">
        <f>+V61</f>
        <v>0</v>
      </c>
    </row>
    <row r="52" spans="1:30" ht="60" customHeight="1" thickBot="1">
      <c r="A52" s="319" t="s">
        <v>362</v>
      </c>
      <c r="B52" s="327"/>
      <c r="C52" s="332"/>
      <c r="D52" s="332"/>
      <c r="E52" s="327"/>
      <c r="F52" s="327"/>
      <c r="G52" s="332"/>
      <c r="H52" s="332"/>
      <c r="I52" s="332"/>
      <c r="J52" s="332"/>
      <c r="K52" s="332"/>
      <c r="L52" s="329"/>
      <c r="M52" s="163"/>
      <c r="N52" s="163"/>
      <c r="O52" s="163"/>
      <c r="P52"/>
      <c r="Q52"/>
      <c r="R52"/>
      <c r="S52"/>
      <c r="T52"/>
      <c r="U52"/>
      <c r="V52"/>
      <c r="W52"/>
      <c r="AC52" s="149" t="s">
        <v>254</v>
      </c>
      <c r="AD52" s="151">
        <f>+B68</f>
        <v>0</v>
      </c>
    </row>
    <row r="53" spans="1:30" ht="60" customHeight="1" thickBot="1">
      <c r="A53" s="319" t="s">
        <v>311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9"/>
      <c r="M53" s="163"/>
      <c r="N53" s="163"/>
      <c r="O53" s="163"/>
      <c r="P53"/>
      <c r="Q53"/>
      <c r="R53"/>
      <c r="S53"/>
      <c r="T53"/>
      <c r="U53"/>
      <c r="V53"/>
      <c r="W53"/>
      <c r="AC53" s="149" t="s">
        <v>255</v>
      </c>
      <c r="AD53" s="151">
        <f>+C68</f>
        <v>0</v>
      </c>
    </row>
    <row r="54" spans="1:30" ht="60" customHeight="1" thickBot="1">
      <c r="A54" s="319" t="s">
        <v>312</v>
      </c>
      <c r="B54" s="327"/>
      <c r="C54" s="327"/>
      <c r="D54" s="333"/>
      <c r="E54" s="327"/>
      <c r="F54" s="327"/>
      <c r="G54" s="327"/>
      <c r="H54" s="327"/>
      <c r="I54" s="327"/>
      <c r="J54" s="327"/>
      <c r="K54" s="327"/>
      <c r="L54" s="329"/>
      <c r="M54" s="163"/>
      <c r="N54" s="163"/>
      <c r="O54" s="163"/>
      <c r="P54"/>
      <c r="Q54"/>
      <c r="R54"/>
      <c r="S54"/>
      <c r="T54"/>
      <c r="U54"/>
      <c r="V54"/>
      <c r="W54"/>
      <c r="AC54" s="149" t="s">
        <v>256</v>
      </c>
      <c r="AD54" s="151">
        <f>+D68</f>
        <v>0</v>
      </c>
    </row>
    <row r="55" spans="1:30" ht="60" customHeight="1" thickBot="1">
      <c r="A55" s="319" t="s">
        <v>313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29"/>
      <c r="M55" s="163"/>
      <c r="N55" s="163"/>
      <c r="O55" s="163"/>
      <c r="P55"/>
      <c r="Q55"/>
      <c r="R55"/>
      <c r="S55"/>
      <c r="T55"/>
      <c r="U55"/>
      <c r="V55"/>
      <c r="W55"/>
      <c r="AC55" s="149" t="s">
        <v>257</v>
      </c>
      <c r="AD55" s="151">
        <f>+E68</f>
        <v>0</v>
      </c>
    </row>
    <row r="56" spans="1:30" ht="60" customHeight="1" thickBot="1">
      <c r="A56" s="319" t="s">
        <v>314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9"/>
      <c r="M56" s="163"/>
      <c r="N56" s="163"/>
      <c r="O56" s="163"/>
      <c r="P56"/>
      <c r="Q56"/>
      <c r="R56"/>
      <c r="S56"/>
      <c r="T56"/>
      <c r="U56"/>
      <c r="V56"/>
      <c r="W56"/>
      <c r="AC56" s="149" t="s">
        <v>258</v>
      </c>
      <c r="AD56" s="151">
        <f>+F68</f>
        <v>0</v>
      </c>
    </row>
    <row r="57" spans="1:30" ht="60" customHeight="1" thickBot="1">
      <c r="A57" s="320" t="s">
        <v>315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9"/>
      <c r="M57" s="163"/>
      <c r="N57" s="163"/>
      <c r="O57" s="163"/>
      <c r="P57"/>
      <c r="Q57"/>
      <c r="R57"/>
      <c r="S57"/>
      <c r="T57"/>
      <c r="U57"/>
      <c r="V57"/>
      <c r="W57"/>
      <c r="AC57" s="149" t="s">
        <v>259</v>
      </c>
      <c r="AD57" s="151">
        <f>+G68</f>
        <v>0</v>
      </c>
    </row>
    <row r="58" spans="1:30" ht="60" customHeight="1" thickBot="1">
      <c r="A58" s="320" t="s">
        <v>361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9"/>
      <c r="M58" s="163"/>
      <c r="N58" s="163"/>
      <c r="O58" s="163"/>
      <c r="P58"/>
      <c r="Q58"/>
      <c r="R58"/>
      <c r="S58"/>
      <c r="T58"/>
      <c r="U58"/>
      <c r="V58"/>
      <c r="W58"/>
      <c r="AC58" s="149"/>
      <c r="AD58" s="151"/>
    </row>
    <row r="59" spans="1:30" ht="60" customHeight="1" thickBot="1">
      <c r="A59" s="319" t="s">
        <v>316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29"/>
      <c r="M59" s="163"/>
      <c r="N59" s="163"/>
      <c r="O59" s="163"/>
      <c r="P59"/>
      <c r="Q59"/>
      <c r="R59"/>
      <c r="S59"/>
      <c r="T59"/>
      <c r="U59"/>
      <c r="V59"/>
      <c r="W59"/>
      <c r="AC59" s="149" t="s">
        <v>260</v>
      </c>
      <c r="AD59" s="151">
        <f>+H68</f>
        <v>0</v>
      </c>
    </row>
    <row r="60" spans="1:30" ht="60" customHeight="1" thickBot="1">
      <c r="A60" s="320" t="s">
        <v>317</v>
      </c>
      <c r="B60" s="327"/>
      <c r="C60" s="327"/>
      <c r="D60" s="327"/>
      <c r="E60" s="335"/>
      <c r="F60" s="335"/>
      <c r="G60" s="333"/>
      <c r="H60" s="333"/>
      <c r="I60" s="333"/>
      <c r="J60" s="333"/>
      <c r="K60" s="333"/>
      <c r="L60" s="329"/>
      <c r="M60" s="163"/>
      <c r="N60" s="163"/>
      <c r="O60" s="163"/>
      <c r="P60"/>
      <c r="Q60"/>
      <c r="R60"/>
      <c r="S60"/>
      <c r="T60"/>
      <c r="U60"/>
      <c r="V60"/>
      <c r="W60"/>
      <c r="AC60" s="149" t="s">
        <v>261</v>
      </c>
      <c r="AD60" s="151">
        <f>+I68</f>
        <v>0</v>
      </c>
    </row>
    <row r="61" spans="1:30" ht="60" customHeight="1" thickBot="1">
      <c r="A61" s="164" t="s">
        <v>204</v>
      </c>
      <c r="B61" s="327"/>
      <c r="C61" s="701"/>
      <c r="D61" s="702"/>
      <c r="E61" s="708"/>
      <c r="F61" s="709"/>
      <c r="G61" s="710"/>
      <c r="H61" s="711"/>
      <c r="I61" s="712"/>
      <c r="J61" s="327"/>
      <c r="K61" s="327"/>
      <c r="L61" s="329"/>
      <c r="M61" s="163"/>
      <c r="N61" s="163"/>
      <c r="O61" s="163"/>
      <c r="P61"/>
      <c r="Q61"/>
      <c r="R61"/>
      <c r="S61"/>
      <c r="T61"/>
      <c r="U61"/>
      <c r="V61"/>
      <c r="W61"/>
      <c r="AC61" s="149" t="s">
        <v>262</v>
      </c>
      <c r="AD61" s="151">
        <f>+J68</f>
        <v>0</v>
      </c>
    </row>
    <row r="62" spans="1:30" ht="60" customHeight="1" thickBot="1">
      <c r="A62" s="164" t="str">
        <f>+A24</f>
        <v>Max Value</v>
      </c>
      <c r="B62" s="327"/>
      <c r="C62" s="701"/>
      <c r="D62" s="702"/>
      <c r="E62" s="701"/>
      <c r="F62" s="702"/>
      <c r="G62" s="701"/>
      <c r="H62" s="703"/>
      <c r="I62" s="702"/>
      <c r="J62" s="327"/>
      <c r="K62" s="327"/>
      <c r="L62" s="329"/>
      <c r="M62" s="163"/>
      <c r="N62" s="163"/>
      <c r="O62" s="163"/>
      <c r="P62"/>
      <c r="Q62"/>
      <c r="R62"/>
      <c r="S62"/>
      <c r="T62"/>
      <c r="U62"/>
      <c r="V62"/>
      <c r="W62"/>
      <c r="AC62" s="149" t="s">
        <v>263</v>
      </c>
      <c r="AD62" s="151">
        <f>+K68</f>
        <v>0</v>
      </c>
    </row>
    <row r="63" spans="1:30" ht="45" customHeight="1" thickBot="1">
      <c r="A63" s="704"/>
      <c r="B63" s="705"/>
      <c r="C63" s="705"/>
      <c r="D63" s="705"/>
      <c r="E63" s="705"/>
      <c r="F63" s="705"/>
      <c r="G63" s="705"/>
      <c r="H63" s="705"/>
      <c r="I63" s="705"/>
      <c r="J63" s="705"/>
      <c r="K63" s="706"/>
      <c r="L63" s="323"/>
      <c r="AC63" s="149" t="s">
        <v>264</v>
      </c>
      <c r="AD63" s="151">
        <f>+B70</f>
        <v>0</v>
      </c>
    </row>
    <row r="64" spans="1:30" ht="49.5" customHeight="1" thickBot="1">
      <c r="A64" s="718" t="s">
        <v>447</v>
      </c>
      <c r="B64" s="719"/>
      <c r="C64" s="719"/>
      <c r="D64" s="719"/>
      <c r="E64" s="719"/>
      <c r="F64" s="719"/>
      <c r="G64" s="719"/>
      <c r="H64" s="699"/>
      <c r="I64" s="309"/>
      <c r="J64" s="309"/>
      <c r="K64" s="309"/>
      <c r="L64" s="323"/>
      <c r="AC64" s="149" t="s">
        <v>265</v>
      </c>
      <c r="AD64" s="151">
        <f>+C70</f>
        <v>0</v>
      </c>
    </row>
    <row r="65" spans="1:30" ht="49.5" customHeight="1" thickBot="1">
      <c r="A65" s="720" t="s">
        <v>324</v>
      </c>
      <c r="B65" s="721"/>
      <c r="C65" s="721"/>
      <c r="D65" s="721"/>
      <c r="E65" s="721"/>
      <c r="F65" s="722"/>
      <c r="G65" s="723" t="s">
        <v>276</v>
      </c>
      <c r="H65" s="723"/>
      <c r="I65" s="309"/>
      <c r="J65" s="309"/>
      <c r="K65" s="309"/>
      <c r="L65" s="323"/>
      <c r="AC65" s="149" t="s">
        <v>266</v>
      </c>
      <c r="AD65" s="151">
        <f>+D70</f>
        <v>0</v>
      </c>
    </row>
    <row r="66" spans="1:30" ht="49.5" customHeight="1">
      <c r="A66" s="310"/>
      <c r="B66" s="311" t="s">
        <v>289</v>
      </c>
      <c r="C66" s="311" t="s">
        <v>352</v>
      </c>
      <c r="D66" s="311" t="s">
        <v>435</v>
      </c>
      <c r="E66" s="311" t="s">
        <v>436</v>
      </c>
      <c r="F66" s="312" t="s">
        <v>363</v>
      </c>
      <c r="G66" s="336" t="s">
        <v>290</v>
      </c>
      <c r="H66" s="337" t="s">
        <v>291</v>
      </c>
      <c r="I66" s="309"/>
      <c r="J66" s="309"/>
      <c r="K66" s="309"/>
      <c r="L66" s="323"/>
      <c r="AC66" s="149" t="s">
        <v>267</v>
      </c>
      <c r="AD66" s="151">
        <f>+E70</f>
        <v>0</v>
      </c>
    </row>
    <row r="67" spans="1:30" ht="49.5" customHeight="1">
      <c r="A67" s="313" t="s">
        <v>303</v>
      </c>
      <c r="B67" s="314"/>
      <c r="C67" s="314"/>
      <c r="D67" s="314"/>
      <c r="E67" s="314"/>
      <c r="F67" s="314"/>
      <c r="G67" s="338"/>
      <c r="H67" s="324"/>
      <c r="I67" s="309"/>
      <c r="J67" s="309"/>
      <c r="K67" s="309"/>
      <c r="L67" s="323"/>
      <c r="AC67" s="149" t="s">
        <v>268</v>
      </c>
      <c r="AD67" s="151">
        <f>+F70</f>
        <v>0</v>
      </c>
    </row>
    <row r="68" spans="1:30" ht="49.5" customHeight="1">
      <c r="A68" s="313" t="s">
        <v>318</v>
      </c>
      <c r="B68" s="316"/>
      <c r="C68" s="316"/>
      <c r="D68" s="316"/>
      <c r="E68" s="316"/>
      <c r="F68" s="317"/>
      <c r="G68" s="339"/>
      <c r="H68" s="340"/>
      <c r="I68" s="309"/>
      <c r="J68" s="309"/>
      <c r="K68" s="309"/>
      <c r="L68" s="323"/>
      <c r="AC68" s="149" t="s">
        <v>269</v>
      </c>
      <c r="AD68" s="151">
        <f>+G70</f>
        <v>0</v>
      </c>
    </row>
    <row r="69" spans="1:30" ht="49.5" customHeight="1">
      <c r="A69" s="313" t="s">
        <v>350</v>
      </c>
      <c r="B69" s="341"/>
      <c r="C69" s="341"/>
      <c r="D69" s="341"/>
      <c r="E69" s="341"/>
      <c r="F69" s="341"/>
      <c r="G69" s="341"/>
      <c r="H69" s="342"/>
      <c r="I69" s="309"/>
      <c r="J69" s="309"/>
      <c r="K69" s="309"/>
      <c r="L69" s="323"/>
      <c r="AC69" s="149" t="s">
        <v>270</v>
      </c>
      <c r="AD69" s="151">
        <f>+H70</f>
        <v>0</v>
      </c>
    </row>
    <row r="70" spans="1:30" ht="49.5" customHeight="1">
      <c r="A70" s="313" t="s">
        <v>319</v>
      </c>
      <c r="B70" s="316"/>
      <c r="C70" s="316"/>
      <c r="D70" s="316"/>
      <c r="E70" s="316"/>
      <c r="F70" s="317"/>
      <c r="G70" s="339"/>
      <c r="H70" s="340"/>
      <c r="I70" s="309"/>
      <c r="J70" s="309"/>
      <c r="K70" s="309"/>
      <c r="L70" s="323"/>
      <c r="AC70" s="149" t="s">
        <v>271</v>
      </c>
      <c r="AD70" s="151">
        <f>+I70</f>
        <v>0</v>
      </c>
    </row>
    <row r="71" spans="1:30" ht="49.5" customHeight="1" thickBot="1">
      <c r="A71" s="343" t="s">
        <v>404</v>
      </c>
      <c r="B71" s="344" t="s">
        <v>445</v>
      </c>
      <c r="C71" s="345"/>
      <c r="D71" s="380" t="s">
        <v>446</v>
      </c>
      <c r="E71" s="346"/>
      <c r="F71" s="346"/>
      <c r="G71" s="346"/>
      <c r="H71" s="346"/>
      <c r="I71" s="309"/>
      <c r="J71" s="309"/>
      <c r="K71" s="309"/>
      <c r="L71" s="323"/>
      <c r="AC71" s="149" t="s">
        <v>272</v>
      </c>
      <c r="AD71" s="151">
        <f>+J70</f>
        <v>0</v>
      </c>
    </row>
    <row r="72" spans="1:30" ht="34.5" customHeight="1" thickBot="1">
      <c r="A72" s="347"/>
      <c r="B72" s="724" t="s">
        <v>325</v>
      </c>
      <c r="C72" s="725"/>
      <c r="D72" s="725"/>
      <c r="E72" s="725"/>
      <c r="F72" s="725"/>
      <c r="G72" s="726"/>
      <c r="H72" s="322"/>
      <c r="I72" s="322"/>
      <c r="J72" s="322"/>
      <c r="K72" s="309"/>
      <c r="L72" s="323"/>
      <c r="AC72" s="149" t="s">
        <v>273</v>
      </c>
      <c r="AD72" s="151">
        <f>+K70</f>
        <v>0</v>
      </c>
    </row>
    <row r="73" spans="1:12" ht="34.5" customHeight="1" thickBot="1">
      <c r="A73" s="348"/>
      <c r="B73" s="321" t="s">
        <v>278</v>
      </c>
      <c r="C73" s="321" t="s">
        <v>320</v>
      </c>
      <c r="D73" s="720" t="s">
        <v>321</v>
      </c>
      <c r="E73" s="721"/>
      <c r="F73" s="721"/>
      <c r="G73" s="722"/>
      <c r="H73" s="322"/>
      <c r="I73" s="322"/>
      <c r="J73" s="322"/>
      <c r="K73" s="309"/>
      <c r="L73" s="323"/>
    </row>
    <row r="74" spans="1:12" ht="34.5" customHeight="1" thickBot="1">
      <c r="A74" s="348"/>
      <c r="B74" s="349"/>
      <c r="C74" s="350" t="s">
        <v>443</v>
      </c>
      <c r="D74" s="713"/>
      <c r="E74" s="714"/>
      <c r="F74" s="714"/>
      <c r="G74" s="715"/>
      <c r="H74" s="322"/>
      <c r="I74" s="322"/>
      <c r="J74" s="322"/>
      <c r="K74" s="309"/>
      <c r="L74" s="323"/>
    </row>
    <row r="75" spans="1:12" ht="34.5" customHeight="1" thickBot="1">
      <c r="A75" s="348"/>
      <c r="B75" s="349"/>
      <c r="C75" s="350" t="s">
        <v>441</v>
      </c>
      <c r="D75" s="713"/>
      <c r="E75" s="714"/>
      <c r="F75" s="714"/>
      <c r="G75" s="715"/>
      <c r="H75" s="322"/>
      <c r="I75" s="322"/>
      <c r="J75" s="322"/>
      <c r="K75" s="309"/>
      <c r="L75" s="323"/>
    </row>
    <row r="76" spans="1:12" ht="34.5" customHeight="1" thickBot="1">
      <c r="A76" s="716" t="s">
        <v>322</v>
      </c>
      <c r="B76" s="365"/>
      <c r="C76" s="350" t="s">
        <v>442</v>
      </c>
      <c r="D76" s="713"/>
      <c r="E76" s="714"/>
      <c r="F76" s="714"/>
      <c r="G76" s="715"/>
      <c r="H76" s="322"/>
      <c r="I76" s="322"/>
      <c r="J76" s="322"/>
      <c r="K76" s="309"/>
      <c r="L76" s="323"/>
    </row>
    <row r="77" spans="1:12" ht="34.5" customHeight="1" thickBot="1">
      <c r="A77" s="717"/>
      <c r="B77" s="365"/>
      <c r="C77" s="350" t="s">
        <v>444</v>
      </c>
      <c r="D77" s="713"/>
      <c r="E77" s="714"/>
      <c r="F77" s="714"/>
      <c r="G77" s="715"/>
      <c r="H77" s="322"/>
      <c r="I77" s="322"/>
      <c r="J77" s="322"/>
      <c r="K77" s="309"/>
      <c r="L77" s="323"/>
    </row>
    <row r="78" spans="1:12" ht="34.5" customHeight="1">
      <c r="A78" s="310"/>
      <c r="B78" s="731"/>
      <c r="C78" s="731"/>
      <c r="D78" s="731"/>
      <c r="E78" s="731"/>
      <c r="F78" s="731"/>
      <c r="G78" s="731"/>
      <c r="H78" s="322"/>
      <c r="I78" s="322"/>
      <c r="J78" s="322"/>
      <c r="K78" s="309"/>
      <c r="L78" s="323"/>
    </row>
    <row r="79" spans="1:12" ht="34.5" customHeight="1" thickBot="1">
      <c r="A79" s="366"/>
      <c r="B79" s="731"/>
      <c r="C79" s="731"/>
      <c r="D79" s="731"/>
      <c r="E79" s="731"/>
      <c r="F79" s="731"/>
      <c r="G79" s="731"/>
      <c r="H79" s="309"/>
      <c r="I79" s="309"/>
      <c r="J79" s="309"/>
      <c r="K79" s="309"/>
      <c r="L79" s="323"/>
    </row>
    <row r="80" spans="1:12" ht="24.75" customHeight="1">
      <c r="A80" s="732"/>
      <c r="B80" s="733"/>
      <c r="C80" s="733"/>
      <c r="D80" s="733"/>
      <c r="E80" s="733"/>
      <c r="F80" s="733"/>
      <c r="G80" s="733"/>
      <c r="H80" s="309"/>
      <c r="I80" s="309"/>
      <c r="J80" s="309"/>
      <c r="K80" s="309"/>
      <c r="L80" s="323"/>
    </row>
    <row r="81" spans="1:12" ht="39.75" customHeight="1">
      <c r="A81" s="734" t="s">
        <v>448</v>
      </c>
      <c r="B81" s="734"/>
      <c r="C81" s="734"/>
      <c r="D81" s="734"/>
      <c r="E81" s="734"/>
      <c r="F81" s="734"/>
      <c r="G81" s="734"/>
      <c r="H81" s="734"/>
      <c r="I81" s="734"/>
      <c r="J81" s="734"/>
      <c r="K81" s="734"/>
      <c r="L81" s="323"/>
    </row>
    <row r="82" spans="1:12" ht="39.75" customHeight="1">
      <c r="A82" s="374"/>
      <c r="B82" s="370" t="s">
        <v>309</v>
      </c>
      <c r="C82" s="695" t="s">
        <v>352</v>
      </c>
      <c r="D82" s="695"/>
      <c r="E82" s="695"/>
      <c r="F82" s="727" t="s">
        <v>364</v>
      </c>
      <c r="G82" s="727"/>
      <c r="H82" s="727"/>
      <c r="I82" s="727" t="s">
        <v>291</v>
      </c>
      <c r="J82" s="727"/>
      <c r="K82" s="727"/>
      <c r="L82" s="323"/>
    </row>
    <row r="83" spans="1:12" ht="39.75" customHeight="1">
      <c r="A83" s="373" t="s">
        <v>328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23"/>
    </row>
    <row r="84" spans="1:12" ht="39.75" customHeight="1">
      <c r="A84" s="373" t="s">
        <v>329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23"/>
    </row>
    <row r="85" spans="1:12" ht="39.75" customHeight="1">
      <c r="A85" s="373" t="s">
        <v>330</v>
      </c>
      <c r="B85" s="352"/>
      <c r="C85" s="315"/>
      <c r="D85" s="315"/>
      <c r="E85" s="315"/>
      <c r="F85" s="315"/>
      <c r="G85" s="315"/>
      <c r="H85" s="315"/>
      <c r="I85" s="315"/>
      <c r="J85" s="315"/>
      <c r="K85" s="315"/>
      <c r="L85" s="323"/>
    </row>
    <row r="86" spans="1:12" ht="39.75" customHeight="1">
      <c r="A86" s="373" t="s">
        <v>336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23"/>
    </row>
    <row r="87" spans="1:12" ht="39.75" customHeight="1">
      <c r="A87" s="373" t="s">
        <v>337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23"/>
    </row>
    <row r="88" spans="1:12" ht="39.75" customHeight="1">
      <c r="A88" s="373" t="s">
        <v>331</v>
      </c>
      <c r="B88" s="316"/>
      <c r="C88" s="315"/>
      <c r="D88" s="315"/>
      <c r="E88" s="315"/>
      <c r="F88" s="315"/>
      <c r="G88" s="315"/>
      <c r="H88" s="315"/>
      <c r="I88" s="315"/>
      <c r="J88" s="315"/>
      <c r="K88" s="315"/>
      <c r="L88" s="323"/>
    </row>
    <row r="89" spans="1:12" ht="39.75" customHeight="1">
      <c r="A89" s="373" t="s">
        <v>313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23"/>
    </row>
    <row r="90" spans="1:12" ht="39.75" customHeight="1">
      <c r="A90" s="373" t="s">
        <v>300</v>
      </c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23"/>
    </row>
    <row r="91" spans="1:12" ht="39.75" customHeight="1">
      <c r="A91" s="373" t="s">
        <v>338</v>
      </c>
      <c r="B91" s="352"/>
      <c r="C91" s="315"/>
      <c r="D91" s="315"/>
      <c r="E91" s="315"/>
      <c r="F91" s="315"/>
      <c r="G91" s="315"/>
      <c r="H91" s="315"/>
      <c r="I91" s="315"/>
      <c r="J91" s="315"/>
      <c r="K91" s="315"/>
      <c r="L91" s="323"/>
    </row>
    <row r="92" spans="1:12" ht="39.75" customHeight="1">
      <c r="A92" s="373" t="s">
        <v>332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23"/>
    </row>
    <row r="93" spans="1:12" ht="39.75" customHeight="1">
      <c r="A93" s="373" t="s">
        <v>333</v>
      </c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23"/>
    </row>
    <row r="94" spans="1:12" ht="39.75" customHeight="1">
      <c r="A94" s="373" t="s">
        <v>334</v>
      </c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23"/>
    </row>
    <row r="95" spans="1:12" ht="39.75" customHeight="1">
      <c r="A95" s="373" t="s">
        <v>335</v>
      </c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23"/>
    </row>
    <row r="96" spans="1:12" ht="39.75" customHeight="1">
      <c r="A96" s="373" t="s">
        <v>449</v>
      </c>
      <c r="B96" s="380"/>
      <c r="C96" s="728"/>
      <c r="D96" s="728"/>
      <c r="E96" s="728"/>
      <c r="F96" s="728"/>
      <c r="G96" s="728"/>
      <c r="H96" s="728"/>
      <c r="I96" s="728"/>
      <c r="J96" s="728"/>
      <c r="K96" s="728"/>
      <c r="L96" s="323"/>
    </row>
    <row r="97" spans="1:12" ht="39.75" customHeight="1">
      <c r="A97" s="373" t="str">
        <f>+A24</f>
        <v>Max Value</v>
      </c>
      <c r="B97" s="370"/>
      <c r="C97" s="694"/>
      <c r="D97" s="694"/>
      <c r="E97" s="694"/>
      <c r="F97" s="728"/>
      <c r="G97" s="728"/>
      <c r="H97" s="728"/>
      <c r="I97" s="728"/>
      <c r="J97" s="728"/>
      <c r="K97" s="728"/>
      <c r="L97" s="323"/>
    </row>
    <row r="98" spans="1:12" ht="24.75" customHeight="1" thickBot="1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</row>
    <row r="99" spans="1:12" ht="34.5" customHeight="1" thickBot="1">
      <c r="A99" s="718" t="s">
        <v>339</v>
      </c>
      <c r="B99" s="719"/>
      <c r="C99" s="719"/>
      <c r="D99" s="719"/>
      <c r="E99" s="699"/>
      <c r="F99" s="309"/>
      <c r="G99" s="309"/>
      <c r="H99" s="309"/>
      <c r="I99" s="309"/>
      <c r="J99" s="309"/>
      <c r="K99" s="309"/>
      <c r="L99" s="309"/>
    </row>
    <row r="100" spans="1:12" ht="34.5" customHeight="1" thickBot="1">
      <c r="A100" s="328"/>
      <c r="B100" s="321" t="s">
        <v>435</v>
      </c>
      <c r="C100" s="321" t="s">
        <v>436</v>
      </c>
      <c r="D100" s="321" t="s">
        <v>363</v>
      </c>
      <c r="E100" s="321" t="s">
        <v>340</v>
      </c>
      <c r="F100" s="309"/>
      <c r="G100" s="309"/>
      <c r="H100" s="309"/>
      <c r="I100" s="309"/>
      <c r="J100" s="309"/>
      <c r="K100" s="323"/>
      <c r="L100" s="323"/>
    </row>
    <row r="101" spans="1:12" ht="34.5" customHeight="1" thickBot="1">
      <c r="A101" s="321" t="s">
        <v>330</v>
      </c>
      <c r="B101" s="355"/>
      <c r="C101" s="355"/>
      <c r="D101" s="355"/>
      <c r="E101" s="355"/>
      <c r="F101" s="309"/>
      <c r="G101" s="309"/>
      <c r="H101" s="309"/>
      <c r="I101" s="309"/>
      <c r="J101" s="309"/>
      <c r="K101" s="323"/>
      <c r="L101" s="323"/>
    </row>
    <row r="102" spans="1:12" ht="34.5" customHeight="1" thickBot="1">
      <c r="A102" s="321" t="s">
        <v>342</v>
      </c>
      <c r="B102" s="356"/>
      <c r="C102" s="356"/>
      <c r="D102" s="356"/>
      <c r="E102" s="356"/>
      <c r="F102" s="309"/>
      <c r="G102" s="309"/>
      <c r="H102" s="309"/>
      <c r="I102" s="309"/>
      <c r="J102" s="309"/>
      <c r="K102" s="323"/>
      <c r="L102" s="323"/>
    </row>
    <row r="103" spans="1:12" ht="34.5" customHeight="1" thickBot="1">
      <c r="A103" s="321" t="s">
        <v>303</v>
      </c>
      <c r="B103" s="356"/>
      <c r="C103" s="356"/>
      <c r="D103" s="356"/>
      <c r="E103" s="356"/>
      <c r="F103" s="309"/>
      <c r="G103" s="309"/>
      <c r="H103" s="309"/>
      <c r="I103" s="309"/>
      <c r="J103" s="309"/>
      <c r="K103" s="323"/>
      <c r="L103" s="323"/>
    </row>
    <row r="104" spans="1:12" ht="34.5" customHeight="1" thickBot="1">
      <c r="A104" s="321" t="s">
        <v>285</v>
      </c>
      <c r="B104" s="165"/>
      <c r="C104" s="165"/>
      <c r="D104" s="165"/>
      <c r="E104" s="165"/>
      <c r="F104" s="309"/>
      <c r="G104" s="309"/>
      <c r="H104" s="309"/>
      <c r="I104" s="309"/>
      <c r="J104" s="309"/>
      <c r="K104" s="323"/>
      <c r="L104" s="323"/>
    </row>
    <row r="105" spans="1:12" ht="34.5" customHeight="1" thickBot="1">
      <c r="A105" s="321" t="s">
        <v>365</v>
      </c>
      <c r="B105" s="165"/>
      <c r="C105" s="165"/>
      <c r="D105" s="165"/>
      <c r="E105" s="165"/>
      <c r="F105" s="309"/>
      <c r="G105" s="309"/>
      <c r="H105" s="309"/>
      <c r="I105" s="309"/>
      <c r="J105" s="309"/>
      <c r="K105" s="323"/>
      <c r="L105" s="323"/>
    </row>
    <row r="106" spans="1:12" ht="34.5" customHeight="1" thickBot="1">
      <c r="A106" s="321" t="s">
        <v>343</v>
      </c>
      <c r="B106" s="165"/>
      <c r="C106" s="165"/>
      <c r="D106" s="165"/>
      <c r="E106" s="165"/>
      <c r="F106" s="309"/>
      <c r="G106" s="309"/>
      <c r="H106" s="309"/>
      <c r="I106" s="309"/>
      <c r="J106" s="309"/>
      <c r="K106" s="323"/>
      <c r="L106" s="323"/>
    </row>
    <row r="107" spans="1:12" ht="34.5" customHeight="1" thickBot="1">
      <c r="A107" s="321" t="s">
        <v>366</v>
      </c>
      <c r="B107" s="165"/>
      <c r="C107" s="165"/>
      <c r="D107" s="165"/>
      <c r="E107" s="165"/>
      <c r="F107" s="309"/>
      <c r="G107" s="309"/>
      <c r="H107" s="309"/>
      <c r="I107" s="309"/>
      <c r="J107" s="309"/>
      <c r="K107" s="323"/>
      <c r="L107" s="323"/>
    </row>
    <row r="108" spans="1:12" ht="34.5" customHeight="1" thickBot="1">
      <c r="A108" s="321" t="s">
        <v>367</v>
      </c>
      <c r="B108" s="165"/>
      <c r="C108" s="165"/>
      <c r="D108" s="165"/>
      <c r="E108" s="165"/>
      <c r="F108" s="309"/>
      <c r="G108" s="309"/>
      <c r="H108" s="309"/>
      <c r="I108" s="309"/>
      <c r="J108" s="309"/>
      <c r="K108" s="323"/>
      <c r="L108" s="323"/>
    </row>
    <row r="109" spans="1:12" ht="34.5" customHeight="1" thickBot="1">
      <c r="A109" s="321" t="s">
        <v>368</v>
      </c>
      <c r="B109" s="165"/>
      <c r="C109" s="165"/>
      <c r="D109" s="165"/>
      <c r="E109" s="165"/>
      <c r="F109" s="309"/>
      <c r="G109" s="309"/>
      <c r="H109" s="309"/>
      <c r="I109" s="309"/>
      <c r="J109" s="309"/>
      <c r="K109" s="323"/>
      <c r="L109" s="323"/>
    </row>
    <row r="110" spans="1:12" ht="34.5" customHeight="1" thickBot="1">
      <c r="A110" s="321" t="s">
        <v>341</v>
      </c>
      <c r="B110" s="357"/>
      <c r="C110" s="357"/>
      <c r="D110" s="357"/>
      <c r="E110" s="357"/>
      <c r="F110" s="309"/>
      <c r="G110" s="309"/>
      <c r="H110" s="309"/>
      <c r="I110" s="309"/>
      <c r="J110" s="309"/>
      <c r="K110" s="323"/>
      <c r="L110" s="323"/>
    </row>
    <row r="111" spans="1:12" ht="34.5" customHeight="1" thickBot="1">
      <c r="A111" s="358" t="s">
        <v>369</v>
      </c>
      <c r="B111" s="359"/>
      <c r="C111" s="359"/>
      <c r="D111" s="359"/>
      <c r="E111" s="359"/>
      <c r="F111" s="309"/>
      <c r="G111" s="309"/>
      <c r="H111" s="309"/>
      <c r="I111" s="309"/>
      <c r="J111" s="309"/>
      <c r="K111" s="323"/>
      <c r="L111" s="323"/>
    </row>
    <row r="112" spans="1:12" ht="34.5" customHeight="1" thickBot="1">
      <c r="A112" s="358" t="s">
        <v>370</v>
      </c>
      <c r="B112" s="360"/>
      <c r="C112" s="360"/>
      <c r="D112" s="360"/>
      <c r="E112" s="360"/>
      <c r="F112" s="309"/>
      <c r="G112" s="309"/>
      <c r="H112" s="309"/>
      <c r="I112" s="309"/>
      <c r="J112" s="309"/>
      <c r="K112" s="323"/>
      <c r="L112" s="323"/>
    </row>
    <row r="113" spans="1:12" ht="34.5" customHeight="1" thickBot="1">
      <c r="A113" s="358" t="s">
        <v>344</v>
      </c>
      <c r="B113" s="361"/>
      <c r="C113" s="361"/>
      <c r="D113" s="361"/>
      <c r="E113" s="361"/>
      <c r="F113" s="309"/>
      <c r="G113" s="309"/>
      <c r="H113" s="309"/>
      <c r="I113" s="309"/>
      <c r="J113" s="309"/>
      <c r="K113" s="323"/>
      <c r="L113" s="323"/>
    </row>
    <row r="114" spans="1:12" ht="34.5" customHeight="1" thickBot="1">
      <c r="A114" s="321" t="s">
        <v>345</v>
      </c>
      <c r="B114" s="362"/>
      <c r="C114" s="362"/>
      <c r="D114" s="362"/>
      <c r="E114" s="362"/>
      <c r="F114" s="309"/>
      <c r="G114" s="309"/>
      <c r="H114" s="309"/>
      <c r="I114" s="309"/>
      <c r="J114" s="309"/>
      <c r="K114" s="323"/>
      <c r="L114" s="323"/>
    </row>
    <row r="115" spans="1:8" ht="24.75" customHeight="1">
      <c r="A115"/>
      <c r="B115"/>
      <c r="C115"/>
      <c r="D115"/>
      <c r="E115"/>
      <c r="F115"/>
      <c r="G115"/>
      <c r="H115"/>
    </row>
  </sheetData>
  <sheetProtection/>
  <mergeCells count="70">
    <mergeCell ref="A1:G1"/>
    <mergeCell ref="C97:E97"/>
    <mergeCell ref="F97:H97"/>
    <mergeCell ref="I97:K97"/>
    <mergeCell ref="B78:G78"/>
    <mergeCell ref="B79:G79"/>
    <mergeCell ref="A80:G80"/>
    <mergeCell ref="A81:K81"/>
    <mergeCell ref="D73:G73"/>
    <mergeCell ref="D74:G74"/>
    <mergeCell ref="A99:E99"/>
    <mergeCell ref="C82:E82"/>
    <mergeCell ref="F82:H82"/>
    <mergeCell ref="I82:K82"/>
    <mergeCell ref="C96:E96"/>
    <mergeCell ref="F96:H96"/>
    <mergeCell ref="I96:K96"/>
    <mergeCell ref="D75:G75"/>
    <mergeCell ref="A76:A77"/>
    <mergeCell ref="D76:G76"/>
    <mergeCell ref="D77:G77"/>
    <mergeCell ref="A64:H64"/>
    <mergeCell ref="A65:F65"/>
    <mergeCell ref="G65:H65"/>
    <mergeCell ref="B72:G72"/>
    <mergeCell ref="C62:D62"/>
    <mergeCell ref="E62:F62"/>
    <mergeCell ref="G62:I62"/>
    <mergeCell ref="A63:K63"/>
    <mergeCell ref="A49:I49"/>
    <mergeCell ref="J49:K49"/>
    <mergeCell ref="C61:D61"/>
    <mergeCell ref="E61:F61"/>
    <mergeCell ref="G61:I61"/>
    <mergeCell ref="A42:F42"/>
    <mergeCell ref="G42:H42"/>
    <mergeCell ref="A48:I48"/>
    <mergeCell ref="J48:K48"/>
    <mergeCell ref="A34:H34"/>
    <mergeCell ref="A35:F35"/>
    <mergeCell ref="G35:H35"/>
    <mergeCell ref="A41:H41"/>
    <mergeCell ref="A11:F11"/>
    <mergeCell ref="A26:H26"/>
    <mergeCell ref="A27:F27"/>
    <mergeCell ref="G27:H27"/>
    <mergeCell ref="A13:G14"/>
    <mergeCell ref="H13:I13"/>
    <mergeCell ref="A15:G15"/>
    <mergeCell ref="H15:I15"/>
    <mergeCell ref="E6:F6"/>
    <mergeCell ref="A7:D7"/>
    <mergeCell ref="E7:F7"/>
    <mergeCell ref="A12:I12"/>
    <mergeCell ref="A8:D8"/>
    <mergeCell ref="E8:F8"/>
    <mergeCell ref="G8:H8"/>
    <mergeCell ref="A9:D9"/>
    <mergeCell ref="E9:F10"/>
    <mergeCell ref="G9:H11"/>
    <mergeCell ref="L1:L11"/>
    <mergeCell ref="A2:K2"/>
    <mergeCell ref="A3:F3"/>
    <mergeCell ref="G3:H3"/>
    <mergeCell ref="I3:K11"/>
    <mergeCell ref="A4:D4"/>
    <mergeCell ref="E4:F4"/>
    <mergeCell ref="A5:D5"/>
    <mergeCell ref="E5:F5"/>
    <mergeCell ref="A6:D6"/>
  </mergeCells>
  <printOptions horizontalCentered="1"/>
  <pageMargins left="0.25" right="0.25" top="1.25" bottom="0" header="0" footer="0"/>
  <pageSetup fitToHeight="1" fitToWidth="1" orientation="landscape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Z120"/>
  <sheetViews>
    <sheetView tabSelected="1" zoomScale="75" zoomScaleNormal="75" zoomScalePageLayoutView="0" workbookViewId="0" topLeftCell="A1">
      <pane xSplit="1" ySplit="7" topLeftCell="AI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7" sqref="AO7"/>
    </sheetView>
  </sheetViews>
  <sheetFormatPr defaultColWidth="9.140625" defaultRowHeight="18" customHeight="1"/>
  <cols>
    <col min="1" max="1" width="12.140625" style="220" customWidth="1"/>
    <col min="2" max="2" width="14.00390625" style="220" bestFit="1" customWidth="1"/>
    <col min="3" max="3" width="17.00390625" style="220" customWidth="1"/>
    <col min="4" max="4" width="20.140625" style="220" customWidth="1"/>
    <col min="5" max="9" width="14.00390625" style="220" bestFit="1" customWidth="1"/>
    <col min="10" max="10" width="14.00390625" style="220" customWidth="1"/>
    <col min="11" max="11" width="15.7109375" style="220" customWidth="1"/>
    <col min="12" max="13" width="14.28125" style="220" bestFit="1" customWidth="1"/>
    <col min="14" max="14" width="14.00390625" style="220" customWidth="1"/>
    <col min="15" max="15" width="17.00390625" style="220" customWidth="1"/>
    <col min="16" max="17" width="14.00390625" style="220" bestFit="1" customWidth="1"/>
    <col min="18" max="19" width="14.00390625" style="220" customWidth="1"/>
    <col min="20" max="21" width="14.140625" style="220" bestFit="1" customWidth="1"/>
    <col min="22" max="22" width="14.28125" style="220" bestFit="1" customWidth="1"/>
    <col min="23" max="23" width="14.421875" style="220" bestFit="1" customWidth="1"/>
    <col min="24" max="24" width="14.00390625" style="220" customWidth="1"/>
    <col min="25" max="25" width="17.421875" style="220" customWidth="1"/>
    <col min="26" max="26" width="14.28125" style="220" bestFit="1" customWidth="1"/>
    <col min="27" max="27" width="14.00390625" style="220" customWidth="1"/>
    <col min="28" max="28" width="14.00390625" style="220" bestFit="1" customWidth="1"/>
    <col min="29" max="30" width="14.28125" style="220" bestFit="1" customWidth="1"/>
    <col min="31" max="31" width="19.7109375" style="220" customWidth="1"/>
    <col min="32" max="32" width="18.8515625" style="220" customWidth="1"/>
    <col min="33" max="33" width="17.8515625" style="220" customWidth="1"/>
    <col min="34" max="34" width="10.8515625" style="220" customWidth="1"/>
    <col min="35" max="35" width="12.57421875" style="220" customWidth="1"/>
    <col min="36" max="36" width="11.421875" style="220" customWidth="1"/>
    <col min="37" max="37" width="13.7109375" style="220" customWidth="1"/>
    <col min="38" max="38" width="12.57421875" style="220" customWidth="1"/>
    <col min="39" max="39" width="13.28125" style="220" customWidth="1"/>
    <col min="40" max="40" width="16.00390625" style="220" customWidth="1"/>
    <col min="41" max="41" width="24.140625" style="220" customWidth="1"/>
    <col min="42" max="42" width="24.57421875" style="220" customWidth="1"/>
    <col min="43" max="45" width="9.140625" style="220" customWidth="1"/>
    <col min="46" max="46" width="11.7109375" style="220" customWidth="1"/>
    <col min="47" max="47" width="10.421875" style="220" bestFit="1" customWidth="1"/>
    <col min="48" max="48" width="13.421875" style="220" customWidth="1"/>
    <col min="49" max="49" width="10.421875" style="220" customWidth="1"/>
    <col min="50" max="50" width="13.28125" style="220" customWidth="1"/>
    <col min="51" max="51" width="10.421875" style="220" customWidth="1"/>
    <col min="52" max="52" width="12.57421875" style="220" customWidth="1"/>
    <col min="53" max="53" width="10.421875" style="220" customWidth="1"/>
    <col min="54" max="54" width="12.140625" style="220" customWidth="1"/>
    <col min="55" max="55" width="10.421875" style="220" customWidth="1"/>
    <col min="56" max="56" width="13.421875" style="220" customWidth="1"/>
    <col min="57" max="58" width="9.140625" style="220" customWidth="1"/>
    <col min="59" max="59" width="22.7109375" style="220" customWidth="1"/>
    <col min="60" max="61" width="12.28125" style="220" bestFit="1" customWidth="1"/>
    <col min="62" max="62" width="11.8515625" style="220" customWidth="1"/>
    <col min="63" max="64" width="12.28125" style="220" bestFit="1" customWidth="1"/>
    <col min="65" max="67" width="9.140625" style="220" customWidth="1"/>
    <col min="68" max="68" width="11.28125" style="220" customWidth="1"/>
    <col min="69" max="16384" width="9.140625" style="220" customWidth="1"/>
  </cols>
  <sheetData>
    <row r="1" spans="1:182" s="221" customFormat="1" ht="26.25" customHeight="1">
      <c r="A1" s="520" t="s">
        <v>514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2"/>
      <c r="AE1" s="156"/>
      <c r="AF1" s="542" t="s">
        <v>56</v>
      </c>
      <c r="AG1" s="543"/>
      <c r="AH1" s="514" t="s">
        <v>55</v>
      </c>
      <c r="AI1" s="515"/>
      <c r="AJ1" s="515"/>
      <c r="AK1" s="515"/>
      <c r="AL1" s="515"/>
      <c r="AM1" s="516"/>
      <c r="AN1" s="220"/>
      <c r="AO1" s="220"/>
      <c r="AP1" s="220"/>
      <c r="BQ1" s="395"/>
      <c r="BR1" s="395"/>
      <c r="BS1" s="395"/>
      <c r="BT1" s="395"/>
      <c r="BU1" s="396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</row>
    <row r="2" spans="1:182" s="221" customFormat="1" ht="27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5"/>
      <c r="AE2" s="157"/>
      <c r="AF2" s="544"/>
      <c r="AG2" s="545"/>
      <c r="AH2" s="517"/>
      <c r="AI2" s="518"/>
      <c r="AJ2" s="518"/>
      <c r="AK2" s="518"/>
      <c r="AL2" s="518"/>
      <c r="AM2" s="519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Q2"/>
      <c r="BR2"/>
      <c r="BS2"/>
      <c r="BT2"/>
      <c r="BU2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</row>
    <row r="3" spans="1:73" s="167" customFormat="1" ht="25.5" customHeight="1" thickBot="1">
      <c r="A3" s="182"/>
      <c r="B3" s="220"/>
      <c r="C3" s="528" t="s">
        <v>386</v>
      </c>
      <c r="D3" s="529"/>
      <c r="E3" s="168"/>
      <c r="F3" s="513" t="s">
        <v>22</v>
      </c>
      <c r="G3" s="513"/>
      <c r="H3" s="510" t="s">
        <v>498</v>
      </c>
      <c r="I3" s="511"/>
      <c r="J3" s="511"/>
      <c r="K3" s="512"/>
      <c r="L3" s="510" t="s">
        <v>1</v>
      </c>
      <c r="M3" s="511"/>
      <c r="N3" s="511"/>
      <c r="O3" s="512"/>
      <c r="P3" s="513" t="s">
        <v>2</v>
      </c>
      <c r="Q3" s="513"/>
      <c r="R3" s="513" t="s">
        <v>52</v>
      </c>
      <c r="S3" s="513"/>
      <c r="T3" s="513" t="s">
        <v>44</v>
      </c>
      <c r="U3" s="513"/>
      <c r="V3" s="510" t="s">
        <v>40</v>
      </c>
      <c r="W3" s="511"/>
      <c r="X3" s="511"/>
      <c r="Y3" s="512"/>
      <c r="Z3" s="510"/>
      <c r="AA3" s="511"/>
      <c r="AB3" s="512"/>
      <c r="AC3" s="513" t="s">
        <v>387</v>
      </c>
      <c r="AD3" s="513"/>
      <c r="AF3" s="173" t="s">
        <v>57</v>
      </c>
      <c r="AG3" s="173" t="s">
        <v>20</v>
      </c>
      <c r="AH3" s="503" t="s">
        <v>0</v>
      </c>
      <c r="AI3" s="503"/>
      <c r="AJ3" s="503" t="s">
        <v>1</v>
      </c>
      <c r="AK3" s="503"/>
      <c r="AL3" s="503" t="s">
        <v>40</v>
      </c>
      <c r="AM3" s="503"/>
      <c r="BQ3"/>
      <c r="BR3"/>
      <c r="BS3"/>
      <c r="BT3"/>
      <c r="BU3"/>
    </row>
    <row r="4" spans="1:139" ht="21.75" customHeight="1" thickBot="1" thickTop="1">
      <c r="A4" s="169" t="s">
        <v>3</v>
      </c>
      <c r="B4" s="177" t="s">
        <v>4</v>
      </c>
      <c r="C4" s="437" t="s">
        <v>380</v>
      </c>
      <c r="D4" s="438" t="s">
        <v>381</v>
      </c>
      <c r="E4" s="178" t="s">
        <v>382</v>
      </c>
      <c r="F4" s="441" t="s">
        <v>5</v>
      </c>
      <c r="G4" s="442" t="s">
        <v>8</v>
      </c>
      <c r="H4" s="507"/>
      <c r="I4" s="508"/>
      <c r="J4" s="508"/>
      <c r="K4" s="509"/>
      <c r="L4" s="507"/>
      <c r="M4" s="508"/>
      <c r="N4" s="508"/>
      <c r="O4" s="509"/>
      <c r="P4" s="507"/>
      <c r="Q4" s="509"/>
      <c r="R4" s="526"/>
      <c r="S4" s="527"/>
      <c r="T4" s="507"/>
      <c r="U4" s="509"/>
      <c r="V4" s="507"/>
      <c r="W4" s="508"/>
      <c r="X4" s="508"/>
      <c r="Y4" s="509"/>
      <c r="Z4" s="178" t="s">
        <v>381</v>
      </c>
      <c r="AA4" s="178" t="s">
        <v>381</v>
      </c>
      <c r="AB4" s="178" t="s">
        <v>381</v>
      </c>
      <c r="AC4" s="178" t="s">
        <v>499</v>
      </c>
      <c r="AD4" s="178" t="s">
        <v>499</v>
      </c>
      <c r="AE4" s="222"/>
      <c r="AF4" s="223" t="s">
        <v>4</v>
      </c>
      <c r="AG4" s="223" t="s">
        <v>4</v>
      </c>
      <c r="AH4" s="224"/>
      <c r="AI4" s="224"/>
      <c r="AJ4" s="224"/>
      <c r="AK4" s="224"/>
      <c r="AL4" s="225"/>
      <c r="AM4" s="225"/>
      <c r="AN4" s="547" t="s">
        <v>60</v>
      </c>
      <c r="AO4" s="548"/>
      <c r="AP4" s="549"/>
      <c r="AR4" s="550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2"/>
      <c r="BQ4"/>
      <c r="BR4"/>
      <c r="BS4"/>
      <c r="BT4"/>
      <c r="BU4"/>
      <c r="EB4" s="226"/>
      <c r="EC4" s="227"/>
      <c r="ED4" s="227"/>
      <c r="EE4" s="227"/>
      <c r="EF4" s="227"/>
      <c r="EG4" s="227"/>
      <c r="EH4" s="227"/>
      <c r="EI4" s="226"/>
    </row>
    <row r="5" spans="1:139" ht="21.75" customHeight="1" thickBot="1">
      <c r="A5" s="170" t="s">
        <v>9</v>
      </c>
      <c r="B5" s="179" t="s">
        <v>10</v>
      </c>
      <c r="C5" s="439" t="s">
        <v>11</v>
      </c>
      <c r="D5" s="440" t="s">
        <v>11</v>
      </c>
      <c r="E5" s="178" t="s">
        <v>383</v>
      </c>
      <c r="F5" s="441" t="s">
        <v>12</v>
      </c>
      <c r="G5" s="443" t="s">
        <v>20</v>
      </c>
      <c r="H5" s="178" t="s">
        <v>13</v>
      </c>
      <c r="I5" s="178" t="s">
        <v>8</v>
      </c>
      <c r="J5" s="178" t="s">
        <v>8</v>
      </c>
      <c r="K5" s="178" t="s">
        <v>8</v>
      </c>
      <c r="L5" s="178" t="s">
        <v>13</v>
      </c>
      <c r="M5" s="178" t="s">
        <v>8</v>
      </c>
      <c r="N5" s="178" t="s">
        <v>8</v>
      </c>
      <c r="O5" s="178" t="s">
        <v>8</v>
      </c>
      <c r="P5" s="178" t="s">
        <v>13</v>
      </c>
      <c r="Q5" s="178" t="s">
        <v>8</v>
      </c>
      <c r="R5" s="441" t="s">
        <v>13</v>
      </c>
      <c r="S5" s="441" t="s">
        <v>8</v>
      </c>
      <c r="T5" s="441" t="s">
        <v>13</v>
      </c>
      <c r="U5" s="441" t="s">
        <v>8</v>
      </c>
      <c r="V5" s="441" t="s">
        <v>13</v>
      </c>
      <c r="W5" s="441" t="s">
        <v>8</v>
      </c>
      <c r="X5" s="178" t="s">
        <v>8</v>
      </c>
      <c r="Y5" s="178" t="s">
        <v>8</v>
      </c>
      <c r="Z5" s="304" t="s">
        <v>17</v>
      </c>
      <c r="AA5" s="304"/>
      <c r="AB5" s="178" t="s">
        <v>14</v>
      </c>
      <c r="AC5" s="178" t="s">
        <v>500</v>
      </c>
      <c r="AD5" s="178" t="s">
        <v>500</v>
      </c>
      <c r="AE5" s="222"/>
      <c r="AF5" s="228" t="s">
        <v>11</v>
      </c>
      <c r="AG5" s="228" t="s">
        <v>11</v>
      </c>
      <c r="AH5" s="228" t="s">
        <v>13</v>
      </c>
      <c r="AI5" s="228" t="s">
        <v>8</v>
      </c>
      <c r="AJ5" s="228" t="s">
        <v>13</v>
      </c>
      <c r="AK5" s="228" t="s">
        <v>8</v>
      </c>
      <c r="AL5" s="228" t="s">
        <v>13</v>
      </c>
      <c r="AM5" s="228" t="s">
        <v>8</v>
      </c>
      <c r="AN5" s="530"/>
      <c r="AO5" s="531"/>
      <c r="AP5" s="532"/>
      <c r="AR5" s="553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546"/>
      <c r="BQ5"/>
      <c r="BR5"/>
      <c r="BS5"/>
      <c r="BT5"/>
      <c r="BU5"/>
      <c r="EB5" s="226"/>
      <c r="EC5" s="227"/>
      <c r="ED5" s="227"/>
      <c r="EE5" s="229"/>
      <c r="EF5" s="227"/>
      <c r="EG5" s="227"/>
      <c r="EH5" s="227"/>
      <c r="EI5" s="226"/>
    </row>
    <row r="6" spans="1:139" ht="21.75" customHeight="1" thickBot="1">
      <c r="A6" s="171" t="s">
        <v>7</v>
      </c>
      <c r="B6" s="179" t="s">
        <v>21</v>
      </c>
      <c r="C6" s="439"/>
      <c r="D6" s="440"/>
      <c r="E6" s="178" t="s">
        <v>384</v>
      </c>
      <c r="F6" s="441" t="s">
        <v>22</v>
      </c>
      <c r="G6" s="444" t="s">
        <v>28</v>
      </c>
      <c r="H6" s="178" t="s">
        <v>23</v>
      </c>
      <c r="I6" s="178" t="s">
        <v>19</v>
      </c>
      <c r="J6" s="178" t="s">
        <v>19</v>
      </c>
      <c r="K6" s="178" t="s">
        <v>19</v>
      </c>
      <c r="L6" s="441" t="s">
        <v>23</v>
      </c>
      <c r="M6" s="441" t="s">
        <v>19</v>
      </c>
      <c r="N6" s="178" t="s">
        <v>19</v>
      </c>
      <c r="O6" s="178" t="s">
        <v>19</v>
      </c>
      <c r="P6" s="178" t="s">
        <v>23</v>
      </c>
      <c r="Q6" s="178" t="s">
        <v>19</v>
      </c>
      <c r="R6" s="441" t="s">
        <v>23</v>
      </c>
      <c r="S6" s="441" t="s">
        <v>19</v>
      </c>
      <c r="T6" s="441" t="s">
        <v>23</v>
      </c>
      <c r="U6" s="441" t="s">
        <v>19</v>
      </c>
      <c r="V6" s="441" t="s">
        <v>23</v>
      </c>
      <c r="W6" s="441" t="s">
        <v>19</v>
      </c>
      <c r="X6" s="178" t="s">
        <v>19</v>
      </c>
      <c r="Y6" s="178" t="s">
        <v>19</v>
      </c>
      <c r="Z6" s="305" t="s">
        <v>15</v>
      </c>
      <c r="AA6" s="305"/>
      <c r="AB6" s="178" t="s">
        <v>24</v>
      </c>
      <c r="AC6" s="178" t="s">
        <v>501</v>
      </c>
      <c r="AD6" s="178" t="s">
        <v>503</v>
      </c>
      <c r="AE6" s="222"/>
      <c r="AF6" s="230" t="s">
        <v>45</v>
      </c>
      <c r="AG6" s="228" t="s">
        <v>45</v>
      </c>
      <c r="AH6" s="228" t="s">
        <v>23</v>
      </c>
      <c r="AI6" s="228" t="s">
        <v>19</v>
      </c>
      <c r="AJ6" s="228" t="s">
        <v>23</v>
      </c>
      <c r="AK6" s="228" t="s">
        <v>19</v>
      </c>
      <c r="AL6" s="228" t="s">
        <v>23</v>
      </c>
      <c r="AM6" s="228" t="s">
        <v>19</v>
      </c>
      <c r="AN6" s="10" t="s">
        <v>0</v>
      </c>
      <c r="AO6" s="10" t="s">
        <v>1</v>
      </c>
      <c r="AP6" s="10" t="s">
        <v>40</v>
      </c>
      <c r="AR6" s="554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Q6"/>
      <c r="BR6"/>
      <c r="BS6"/>
      <c r="BT6"/>
      <c r="BU6"/>
      <c r="EB6" s="226"/>
      <c r="EC6" s="229"/>
      <c r="ED6" s="227"/>
      <c r="EE6" s="231"/>
      <c r="EF6" s="227"/>
      <c r="EG6" s="227"/>
      <c r="EH6" s="227"/>
      <c r="EI6" s="226"/>
    </row>
    <row r="7" spans="1:139" ht="21.75" customHeight="1" thickBot="1">
      <c r="A7" s="172" t="s">
        <v>17</v>
      </c>
      <c r="B7" s="166" t="s">
        <v>54</v>
      </c>
      <c r="C7" s="439" t="s">
        <v>58</v>
      </c>
      <c r="D7" s="440" t="s">
        <v>58</v>
      </c>
      <c r="E7" s="178" t="s">
        <v>385</v>
      </c>
      <c r="F7" s="441" t="s">
        <v>29</v>
      </c>
      <c r="G7" s="441" t="s">
        <v>36</v>
      </c>
      <c r="H7" s="180" t="s">
        <v>30</v>
      </c>
      <c r="I7" s="180" t="s">
        <v>30</v>
      </c>
      <c r="J7" s="178" t="s">
        <v>6</v>
      </c>
      <c r="K7" s="178" t="s">
        <v>61</v>
      </c>
      <c r="L7" s="444" t="s">
        <v>30</v>
      </c>
      <c r="M7" s="444" t="s">
        <v>30</v>
      </c>
      <c r="N7" s="178" t="s">
        <v>6</v>
      </c>
      <c r="O7" s="178" t="s">
        <v>61</v>
      </c>
      <c r="P7" s="180" t="s">
        <v>33</v>
      </c>
      <c r="Q7" s="180" t="s">
        <v>33</v>
      </c>
      <c r="R7" s="444" t="s">
        <v>30</v>
      </c>
      <c r="S7" s="444" t="s">
        <v>30</v>
      </c>
      <c r="T7" s="441" t="s">
        <v>30</v>
      </c>
      <c r="U7" s="441" t="s">
        <v>30</v>
      </c>
      <c r="V7" s="441" t="s">
        <v>30</v>
      </c>
      <c r="W7" s="441" t="s">
        <v>30</v>
      </c>
      <c r="X7" s="178" t="s">
        <v>6</v>
      </c>
      <c r="Y7" s="178" t="s">
        <v>61</v>
      </c>
      <c r="Z7" s="178" t="s">
        <v>31</v>
      </c>
      <c r="AA7" s="178"/>
      <c r="AB7" s="178" t="s">
        <v>30</v>
      </c>
      <c r="AC7" s="178" t="s">
        <v>32</v>
      </c>
      <c r="AD7" s="178" t="s">
        <v>32</v>
      </c>
      <c r="AE7" s="222"/>
      <c r="AF7" s="230" t="s">
        <v>58</v>
      </c>
      <c r="AG7" s="228" t="s">
        <v>58</v>
      </c>
      <c r="AH7" s="228" t="s">
        <v>394</v>
      </c>
      <c r="AI7" s="228" t="s">
        <v>394</v>
      </c>
      <c r="AJ7" s="228" t="s">
        <v>394</v>
      </c>
      <c r="AK7" s="228" t="s">
        <v>394</v>
      </c>
      <c r="AL7" s="228" t="s">
        <v>394</v>
      </c>
      <c r="AM7" s="228" t="s">
        <v>394</v>
      </c>
      <c r="AN7" s="11" t="s">
        <v>61</v>
      </c>
      <c r="AO7" s="11" t="s">
        <v>61</v>
      </c>
      <c r="AP7" s="11" t="s">
        <v>61</v>
      </c>
      <c r="AR7" s="555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Q7"/>
      <c r="BR7"/>
      <c r="BS7"/>
      <c r="BT7"/>
      <c r="BU7"/>
      <c r="EB7" s="226"/>
      <c r="EC7" s="229"/>
      <c r="ED7" s="227"/>
      <c r="EE7" s="227"/>
      <c r="EF7" s="227"/>
      <c r="EG7" s="227"/>
      <c r="EH7" s="227"/>
      <c r="EI7" s="226"/>
    </row>
    <row r="8" spans="1:139" ht="25.5" customHeight="1" thickBot="1">
      <c r="A8" s="174">
        <v>1</v>
      </c>
      <c r="B8" s="447">
        <v>0</v>
      </c>
      <c r="C8" s="448">
        <v>0.215</v>
      </c>
      <c r="D8" s="448">
        <v>0.228</v>
      </c>
      <c r="E8" s="449">
        <v>0</v>
      </c>
      <c r="F8" s="449">
        <v>14.8</v>
      </c>
      <c r="G8" s="449">
        <v>16.4</v>
      </c>
      <c r="H8" s="449">
        <v>271.3</v>
      </c>
      <c r="I8" s="449">
        <v>4.5</v>
      </c>
      <c r="J8" s="449">
        <v>8.55</v>
      </c>
      <c r="K8" s="450">
        <v>0.983</v>
      </c>
      <c r="L8" s="449">
        <v>136</v>
      </c>
      <c r="M8" s="449">
        <v>5.2</v>
      </c>
      <c r="N8" s="449">
        <v>9.9</v>
      </c>
      <c r="O8" s="450">
        <v>0.962</v>
      </c>
      <c r="P8" s="449">
        <v>27</v>
      </c>
      <c r="Q8" s="451">
        <v>0</v>
      </c>
      <c r="R8" s="449">
        <v>2.6</v>
      </c>
      <c r="S8" s="449">
        <v>6.6</v>
      </c>
      <c r="T8" s="449">
        <v>7.9</v>
      </c>
      <c r="U8" s="449">
        <v>7.5</v>
      </c>
      <c r="V8" s="449">
        <v>35.4</v>
      </c>
      <c r="W8" s="449">
        <v>0.5</v>
      </c>
      <c r="X8" s="449">
        <v>0.95</v>
      </c>
      <c r="Y8" s="450">
        <v>0.986</v>
      </c>
      <c r="Z8" s="449">
        <v>1</v>
      </c>
      <c r="AA8" s="452"/>
      <c r="AB8" s="451">
        <v>0.02</v>
      </c>
      <c r="AC8" s="449">
        <v>21.9</v>
      </c>
      <c r="AD8" s="449">
        <v>7.8</v>
      </c>
      <c r="AE8" s="167"/>
      <c r="AF8" s="386">
        <v>0.215</v>
      </c>
      <c r="AG8" s="386">
        <v>0.228</v>
      </c>
      <c r="AH8" s="485">
        <v>486.5</v>
      </c>
      <c r="AI8" s="485">
        <v>8.6</v>
      </c>
      <c r="AJ8" s="485">
        <v>243.9</v>
      </c>
      <c r="AK8" s="485">
        <v>9.9</v>
      </c>
      <c r="AL8" s="485">
        <v>63.5</v>
      </c>
      <c r="AM8" s="485">
        <v>1</v>
      </c>
      <c r="AN8" s="486">
        <v>0.983</v>
      </c>
      <c r="AO8" s="232">
        <f aca="true" t="shared" si="0" ref="AO8:AO35">+IF(ISERR((L8-M8)/L8),"",((L8-M8)/L8))</f>
        <v>0.9617647058823531</v>
      </c>
      <c r="AP8" s="232">
        <f>+IF(ISERR((V8-W8)/V8),"",((V8-W8)/V8))</f>
        <v>0.9858757062146892</v>
      </c>
      <c r="AR8" s="233"/>
      <c r="AS8" s="234"/>
      <c r="AT8" s="234"/>
      <c r="AU8" s="234"/>
      <c r="AV8" s="234"/>
      <c r="AW8" s="234"/>
      <c r="AX8" s="235"/>
      <c r="AY8" s="234"/>
      <c r="AZ8" s="235"/>
      <c r="BA8" s="234"/>
      <c r="BB8" s="235"/>
      <c r="BC8" s="234"/>
      <c r="BD8" s="235"/>
      <c r="BQ8"/>
      <c r="BR8"/>
      <c r="BS8"/>
      <c r="BT8"/>
      <c r="BU8"/>
      <c r="EB8" s="236"/>
      <c r="EC8" s="237"/>
      <c r="ED8" s="237"/>
      <c r="EE8" s="237"/>
      <c r="EF8" s="237"/>
      <c r="EG8" s="237"/>
      <c r="EH8" s="237"/>
      <c r="EI8" s="236"/>
    </row>
    <row r="9" spans="1:139" ht="25.5" customHeight="1" thickBot="1">
      <c r="A9" s="175">
        <v>2</v>
      </c>
      <c r="B9" s="447">
        <v>0</v>
      </c>
      <c r="C9" s="448">
        <v>0.23</v>
      </c>
      <c r="D9" s="448">
        <v>0.223</v>
      </c>
      <c r="E9" s="449">
        <v>0</v>
      </c>
      <c r="F9" s="449">
        <v>14.8</v>
      </c>
      <c r="G9" s="449">
        <v>17</v>
      </c>
      <c r="H9" s="449">
        <v>242.3</v>
      </c>
      <c r="I9" s="449">
        <v>4.8</v>
      </c>
      <c r="J9" s="449">
        <v>8.9</v>
      </c>
      <c r="K9" s="450">
        <v>0.98</v>
      </c>
      <c r="L9" s="449">
        <v>220</v>
      </c>
      <c r="M9" s="449">
        <v>4</v>
      </c>
      <c r="N9" s="449">
        <v>7.4</v>
      </c>
      <c r="O9" s="450">
        <v>0.982</v>
      </c>
      <c r="P9" s="449">
        <v>19</v>
      </c>
      <c r="Q9" s="451">
        <v>0</v>
      </c>
      <c r="R9" s="449">
        <v>3.2</v>
      </c>
      <c r="S9" s="449">
        <v>6.2</v>
      </c>
      <c r="T9" s="449">
        <v>7.8</v>
      </c>
      <c r="U9" s="449">
        <v>7.5</v>
      </c>
      <c r="V9" s="449">
        <v>27.9</v>
      </c>
      <c r="W9" s="449">
        <v>0.3</v>
      </c>
      <c r="X9" s="449">
        <v>0.6</v>
      </c>
      <c r="Y9" s="450">
        <v>0.989</v>
      </c>
      <c r="Z9" s="449">
        <v>1</v>
      </c>
      <c r="AA9" s="452"/>
      <c r="AB9" s="451">
        <v>0.02</v>
      </c>
      <c r="AC9" s="449">
        <v>23.4</v>
      </c>
      <c r="AD9" s="449">
        <v>7.8</v>
      </c>
      <c r="AE9" s="454"/>
      <c r="AF9" s="386">
        <v>0.23</v>
      </c>
      <c r="AG9" s="386">
        <v>0.233</v>
      </c>
      <c r="AH9" s="485">
        <v>464.8</v>
      </c>
      <c r="AI9" s="485">
        <v>8.9</v>
      </c>
      <c r="AJ9" s="485">
        <v>422</v>
      </c>
      <c r="AK9" s="485">
        <v>7.4</v>
      </c>
      <c r="AL9" s="485">
        <v>53.5</v>
      </c>
      <c r="AM9" s="485">
        <v>0.6</v>
      </c>
      <c r="AN9" s="486">
        <v>0.98</v>
      </c>
      <c r="AO9" s="232">
        <f t="shared" si="0"/>
        <v>0.9818181818181818</v>
      </c>
      <c r="AP9" s="232">
        <f aca="true" t="shared" si="1" ref="AP9:AP38">+IF(ISERR((V9-W9)/V9),"",((V9-W9)/V9))</f>
        <v>0.989247311827957</v>
      </c>
      <c r="AR9" s="238"/>
      <c r="AS9" s="234"/>
      <c r="AT9" s="234"/>
      <c r="AU9" s="234"/>
      <c r="AV9" s="234"/>
      <c r="AW9" s="234"/>
      <c r="AX9" s="235"/>
      <c r="AY9" s="234"/>
      <c r="AZ9" s="234"/>
      <c r="BA9" s="234"/>
      <c r="BB9" s="235"/>
      <c r="BC9" s="234"/>
      <c r="BD9" s="234"/>
      <c r="BQ9"/>
      <c r="BR9"/>
      <c r="BS9"/>
      <c r="BT9"/>
      <c r="BU9"/>
      <c r="EB9" s="236"/>
      <c r="EC9" s="237"/>
      <c r="ED9" s="237"/>
      <c r="EE9" s="237"/>
      <c r="EF9" s="237"/>
      <c r="EG9" s="237"/>
      <c r="EH9" s="237"/>
      <c r="EI9" s="236"/>
    </row>
    <row r="10" spans="1:139" ht="25.5" customHeight="1" thickBot="1">
      <c r="A10" s="175">
        <v>3</v>
      </c>
      <c r="B10" s="447">
        <v>0.44</v>
      </c>
      <c r="C10" s="448">
        <v>0.265</v>
      </c>
      <c r="D10" s="448">
        <v>0.256</v>
      </c>
      <c r="E10" s="449">
        <v>0</v>
      </c>
      <c r="F10" s="449">
        <v>14.8</v>
      </c>
      <c r="G10" s="449">
        <v>16.6</v>
      </c>
      <c r="H10" s="449">
        <v>146.4</v>
      </c>
      <c r="I10" s="449">
        <v>6.5</v>
      </c>
      <c r="J10" s="449">
        <v>13.9</v>
      </c>
      <c r="K10" s="450">
        <v>0.956</v>
      </c>
      <c r="L10" s="449">
        <v>100</v>
      </c>
      <c r="M10" s="449">
        <v>2.4</v>
      </c>
      <c r="N10" s="449">
        <v>5.1</v>
      </c>
      <c r="O10" s="450">
        <v>0.976</v>
      </c>
      <c r="P10" s="449">
        <v>37</v>
      </c>
      <c r="Q10" s="451">
        <v>0</v>
      </c>
      <c r="R10" s="449">
        <v>3.8</v>
      </c>
      <c r="S10" s="449">
        <v>6.4</v>
      </c>
      <c r="T10" s="449">
        <v>7.8</v>
      </c>
      <c r="U10" s="449">
        <v>7.6</v>
      </c>
      <c r="V10" s="449">
        <v>24.1</v>
      </c>
      <c r="W10" s="449">
        <v>1</v>
      </c>
      <c r="X10" s="449">
        <v>2.13</v>
      </c>
      <c r="Y10" s="450">
        <v>0.9885</v>
      </c>
      <c r="Z10" s="449">
        <v>1</v>
      </c>
      <c r="AA10" s="452"/>
      <c r="AB10" s="451">
        <v>0.01</v>
      </c>
      <c r="AC10" s="449">
        <v>21.1</v>
      </c>
      <c r="AD10" s="449">
        <v>7.8</v>
      </c>
      <c r="AE10" s="454"/>
      <c r="AF10" s="386">
        <v>0.265</v>
      </c>
      <c r="AG10" s="386">
        <v>0.256</v>
      </c>
      <c r="AH10" s="485">
        <v>323.6</v>
      </c>
      <c r="AI10" s="485">
        <v>13.9</v>
      </c>
      <c r="AJ10" s="485">
        <v>221</v>
      </c>
      <c r="AK10" s="485">
        <v>5.1</v>
      </c>
      <c r="AL10" s="485">
        <v>53.3</v>
      </c>
      <c r="AM10" s="485">
        <v>2.1</v>
      </c>
      <c r="AN10" s="486">
        <v>0.956</v>
      </c>
      <c r="AO10" s="232">
        <f t="shared" si="0"/>
        <v>0.976</v>
      </c>
      <c r="AP10" s="232">
        <f t="shared" si="1"/>
        <v>0.9585062240663901</v>
      </c>
      <c r="AR10" s="238"/>
      <c r="AS10" s="234"/>
      <c r="AT10" s="234"/>
      <c r="AU10" s="234"/>
      <c r="AV10" s="234"/>
      <c r="AW10" s="234"/>
      <c r="AX10" s="235"/>
      <c r="AY10" s="234"/>
      <c r="AZ10" s="234"/>
      <c r="BA10" s="234"/>
      <c r="BB10" s="235"/>
      <c r="BC10" s="234"/>
      <c r="BD10" s="234"/>
      <c r="BQ10"/>
      <c r="BR10"/>
      <c r="BS10"/>
      <c r="BT10"/>
      <c r="BU10"/>
      <c r="EB10" s="236"/>
      <c r="EC10" s="237"/>
      <c r="ED10" s="237"/>
      <c r="EE10" s="237"/>
      <c r="EF10" s="237"/>
      <c r="EG10" s="237"/>
      <c r="EH10" s="237"/>
      <c r="EI10" s="236"/>
    </row>
    <row r="11" spans="1:139" ht="25.5" customHeight="1" thickBot="1">
      <c r="A11" s="175">
        <v>4</v>
      </c>
      <c r="B11" s="447">
        <v>0.03</v>
      </c>
      <c r="C11" s="448">
        <v>0.211</v>
      </c>
      <c r="D11" s="448">
        <v>0.224</v>
      </c>
      <c r="E11" s="449">
        <v>0</v>
      </c>
      <c r="F11" s="449">
        <v>14.3</v>
      </c>
      <c r="G11" s="449">
        <v>15.4</v>
      </c>
      <c r="H11" s="449"/>
      <c r="I11" s="449"/>
      <c r="J11" s="449"/>
      <c r="K11" s="450"/>
      <c r="L11" s="449"/>
      <c r="M11" s="449"/>
      <c r="N11" s="449"/>
      <c r="O11" s="450"/>
      <c r="P11" s="449">
        <v>19</v>
      </c>
      <c r="Q11" s="451">
        <v>0</v>
      </c>
      <c r="R11" s="449">
        <v>3</v>
      </c>
      <c r="S11" s="449">
        <v>6.5</v>
      </c>
      <c r="T11" s="449">
        <v>7.8</v>
      </c>
      <c r="U11" s="449">
        <v>7.5</v>
      </c>
      <c r="V11" s="449"/>
      <c r="W11" s="449"/>
      <c r="X11" s="449"/>
      <c r="Y11" s="450"/>
      <c r="Z11" s="449"/>
      <c r="AA11" s="452"/>
      <c r="AB11" s="451">
        <v>0.02</v>
      </c>
      <c r="AC11" s="449">
        <v>34.3</v>
      </c>
      <c r="AD11" s="449">
        <v>7.8</v>
      </c>
      <c r="AE11" s="454"/>
      <c r="AF11" s="386">
        <v>0.211</v>
      </c>
      <c r="AG11" s="386">
        <v>0.224</v>
      </c>
      <c r="AH11" s="485"/>
      <c r="AI11" s="485"/>
      <c r="AJ11" s="485"/>
      <c r="AK11" s="485"/>
      <c r="AL11" s="485"/>
      <c r="AM11" s="485"/>
      <c r="AN11" s="235">
        <f aca="true" t="shared" si="2" ref="AN11:AN35">+IF(ISERR((H11-I11)/H11),"",((H11-I11)/H11))</f>
      </c>
      <c r="AO11" s="235">
        <f t="shared" si="0"/>
      </c>
      <c r="AP11" s="232">
        <f t="shared" si="1"/>
      </c>
      <c r="AR11" s="238"/>
      <c r="AS11" s="234"/>
      <c r="AT11" s="234"/>
      <c r="AU11" s="234"/>
      <c r="AV11" s="234"/>
      <c r="AW11" s="234"/>
      <c r="AX11" s="235"/>
      <c r="AY11" s="234"/>
      <c r="AZ11" s="234"/>
      <c r="BA11" s="234"/>
      <c r="BB11" s="235"/>
      <c r="BC11" s="234"/>
      <c r="BD11" s="234"/>
      <c r="BQ11"/>
      <c r="BR11"/>
      <c r="BS11"/>
      <c r="BT11"/>
      <c r="BU11"/>
      <c r="EB11" s="236"/>
      <c r="EC11" s="237"/>
      <c r="ED11" s="237"/>
      <c r="EE11" s="237"/>
      <c r="EF11" s="237"/>
      <c r="EG11" s="237"/>
      <c r="EH11" s="237"/>
      <c r="EI11" s="236"/>
    </row>
    <row r="12" spans="1:139" ht="25.5" customHeight="1" thickBot="1">
      <c r="A12" s="175">
        <v>5</v>
      </c>
      <c r="B12" s="447">
        <v>0.04</v>
      </c>
      <c r="C12" s="448">
        <v>0.215</v>
      </c>
      <c r="D12" s="448">
        <v>0.217</v>
      </c>
      <c r="E12" s="449">
        <v>0</v>
      </c>
      <c r="F12" s="449">
        <v>14.3</v>
      </c>
      <c r="G12" s="449">
        <v>14.8</v>
      </c>
      <c r="H12" s="449"/>
      <c r="I12" s="449"/>
      <c r="J12" s="449"/>
      <c r="K12" s="450"/>
      <c r="L12" s="449"/>
      <c r="M12" s="449"/>
      <c r="N12" s="449"/>
      <c r="O12" s="450"/>
      <c r="P12" s="449">
        <v>18</v>
      </c>
      <c r="Q12" s="451">
        <v>0</v>
      </c>
      <c r="R12" s="449">
        <v>2</v>
      </c>
      <c r="S12" s="449">
        <v>6.8</v>
      </c>
      <c r="T12" s="449">
        <v>7.9</v>
      </c>
      <c r="U12" s="449">
        <v>7.5</v>
      </c>
      <c r="V12" s="449"/>
      <c r="W12" s="449"/>
      <c r="X12" s="449"/>
      <c r="Y12" s="450"/>
      <c r="Z12" s="449"/>
      <c r="AA12" s="452"/>
      <c r="AB12" s="451">
        <v>0.02</v>
      </c>
      <c r="AC12" s="449">
        <v>21.1</v>
      </c>
      <c r="AD12" s="449">
        <v>7.8</v>
      </c>
      <c r="AE12" s="454"/>
      <c r="AF12" s="386">
        <v>0.215</v>
      </c>
      <c r="AG12" s="386">
        <v>0.217</v>
      </c>
      <c r="AH12" s="485"/>
      <c r="AI12" s="485"/>
      <c r="AJ12" s="485"/>
      <c r="AK12" s="485"/>
      <c r="AL12" s="485"/>
      <c r="AM12" s="485"/>
      <c r="AN12" s="235">
        <f t="shared" si="2"/>
      </c>
      <c r="AO12" s="235">
        <f t="shared" si="0"/>
      </c>
      <c r="AP12" s="232">
        <f t="shared" si="1"/>
      </c>
      <c r="AR12" s="238"/>
      <c r="AS12" s="234"/>
      <c r="AT12" s="234"/>
      <c r="AU12" s="234"/>
      <c r="AV12" s="234"/>
      <c r="AW12" s="234"/>
      <c r="AX12" s="235"/>
      <c r="AY12" s="234"/>
      <c r="AZ12" s="234"/>
      <c r="BA12" s="234"/>
      <c r="BB12" s="235"/>
      <c r="BC12" s="234"/>
      <c r="BD12" s="234"/>
      <c r="BQ12"/>
      <c r="BR12"/>
      <c r="BS12"/>
      <c r="BT12"/>
      <c r="BU12"/>
      <c r="EB12" s="236"/>
      <c r="EC12" s="237"/>
      <c r="ED12" s="237"/>
      <c r="EE12" s="237"/>
      <c r="EF12" s="237"/>
      <c r="EG12" s="237"/>
      <c r="EH12" s="237"/>
      <c r="EI12" s="236"/>
    </row>
    <row r="13" spans="1:139" ht="25.5" customHeight="1" thickBot="1">
      <c r="A13" s="175">
        <v>6</v>
      </c>
      <c r="B13" s="447">
        <v>0</v>
      </c>
      <c r="C13" s="448">
        <v>0.196</v>
      </c>
      <c r="D13" s="448">
        <v>0.214</v>
      </c>
      <c r="E13" s="449">
        <v>0</v>
      </c>
      <c r="F13" s="449"/>
      <c r="G13" s="449"/>
      <c r="H13" s="449"/>
      <c r="I13" s="449"/>
      <c r="J13" s="449"/>
      <c r="K13" s="450"/>
      <c r="L13" s="449"/>
      <c r="M13" s="449"/>
      <c r="N13" s="449"/>
      <c r="O13" s="450"/>
      <c r="P13" s="449"/>
      <c r="Q13" s="451"/>
      <c r="R13" s="449"/>
      <c r="S13" s="449"/>
      <c r="T13" s="449"/>
      <c r="U13" s="449"/>
      <c r="V13" s="449"/>
      <c r="W13" s="449"/>
      <c r="X13" s="449"/>
      <c r="Y13" s="450"/>
      <c r="Z13" s="449"/>
      <c r="AA13" s="452"/>
      <c r="AB13" s="451"/>
      <c r="AC13" s="449">
        <v>17.2</v>
      </c>
      <c r="AD13" s="449">
        <v>7.8</v>
      </c>
      <c r="AE13" s="454"/>
      <c r="AF13" s="386">
        <v>0.196</v>
      </c>
      <c r="AG13" s="386">
        <v>0.214</v>
      </c>
      <c r="AH13" s="485"/>
      <c r="AI13" s="485"/>
      <c r="AJ13" s="485"/>
      <c r="AK13" s="485"/>
      <c r="AL13" s="485"/>
      <c r="AM13" s="485"/>
      <c r="AN13" s="235">
        <f t="shared" si="2"/>
      </c>
      <c r="AO13" s="235">
        <f t="shared" si="0"/>
      </c>
      <c r="AP13" s="232">
        <f t="shared" si="1"/>
      </c>
      <c r="AR13" s="238"/>
      <c r="AS13" s="234"/>
      <c r="AT13" s="234"/>
      <c r="AU13" s="234"/>
      <c r="AV13" s="234"/>
      <c r="AW13" s="234"/>
      <c r="AX13" s="235"/>
      <c r="AY13" s="234"/>
      <c r="AZ13" s="234"/>
      <c r="BA13" s="234"/>
      <c r="BB13" s="235"/>
      <c r="BC13" s="234"/>
      <c r="BD13" s="234"/>
      <c r="BQ13"/>
      <c r="BR13"/>
      <c r="BS13"/>
      <c r="BT13"/>
      <c r="BU13"/>
      <c r="EB13" s="236"/>
      <c r="EC13" s="237"/>
      <c r="ED13" s="237"/>
      <c r="EE13" s="237"/>
      <c r="EF13" s="237"/>
      <c r="EG13" s="237"/>
      <c r="EH13" s="237"/>
      <c r="EI13" s="236"/>
    </row>
    <row r="14" spans="1:139" ht="25.5" customHeight="1" thickBot="1">
      <c r="A14" s="175">
        <v>7</v>
      </c>
      <c r="B14" s="447">
        <v>0</v>
      </c>
      <c r="C14" s="448">
        <v>0.194</v>
      </c>
      <c r="D14" s="448">
        <v>0.203</v>
      </c>
      <c r="E14" s="449">
        <v>0</v>
      </c>
      <c r="F14" s="449"/>
      <c r="G14" s="449"/>
      <c r="H14" s="449">
        <v>343.9</v>
      </c>
      <c r="I14" s="449">
        <v>5.15</v>
      </c>
      <c r="J14" s="449">
        <v>8.8</v>
      </c>
      <c r="K14" s="450">
        <v>0.985</v>
      </c>
      <c r="L14" s="449">
        <v>248</v>
      </c>
      <c r="M14" s="449">
        <v>6.4</v>
      </c>
      <c r="N14" s="449">
        <v>10.8</v>
      </c>
      <c r="O14" s="450">
        <v>0.974</v>
      </c>
      <c r="P14" s="449">
        <v>25</v>
      </c>
      <c r="Q14" s="451">
        <v>0</v>
      </c>
      <c r="R14" s="449"/>
      <c r="S14" s="449"/>
      <c r="T14" s="449"/>
      <c r="U14" s="449"/>
      <c r="V14" s="449">
        <v>26.9</v>
      </c>
      <c r="W14" s="449">
        <v>0.1</v>
      </c>
      <c r="X14" s="449">
        <v>0.169</v>
      </c>
      <c r="Y14" s="450">
        <v>0.996</v>
      </c>
      <c r="Z14" s="449">
        <v>1</v>
      </c>
      <c r="AA14" s="452"/>
      <c r="AB14" s="451"/>
      <c r="AC14" s="449">
        <v>16.4</v>
      </c>
      <c r="AD14" s="449">
        <v>7.8</v>
      </c>
      <c r="AE14" s="454"/>
      <c r="AF14" s="386">
        <v>0.194</v>
      </c>
      <c r="AG14" s="386">
        <v>0.203</v>
      </c>
      <c r="AH14" s="485">
        <v>556.4</v>
      </c>
      <c r="AI14" s="485">
        <v>8.8</v>
      </c>
      <c r="AJ14" s="485">
        <v>401.3</v>
      </c>
      <c r="AK14" s="485">
        <v>10.8</v>
      </c>
      <c r="AL14" s="485">
        <v>43.5</v>
      </c>
      <c r="AM14" s="485">
        <v>0.2</v>
      </c>
      <c r="AN14" s="486">
        <f t="shared" si="2"/>
        <v>0.985024716487351</v>
      </c>
      <c r="AO14" s="486">
        <f t="shared" si="0"/>
        <v>0.9741935483870967</v>
      </c>
      <c r="AP14" s="232">
        <f t="shared" si="1"/>
        <v>0.9962825278810409</v>
      </c>
      <c r="AR14" s="238"/>
      <c r="AS14" s="234"/>
      <c r="AT14" s="234"/>
      <c r="AU14" s="234"/>
      <c r="AV14" s="234"/>
      <c r="AW14" s="234"/>
      <c r="AX14" s="235"/>
      <c r="AY14" s="234"/>
      <c r="AZ14" s="234"/>
      <c r="BA14" s="234"/>
      <c r="BB14" s="235"/>
      <c r="BC14" s="234"/>
      <c r="BD14" s="234"/>
      <c r="BQ14"/>
      <c r="BR14"/>
      <c r="BS14"/>
      <c r="BT14"/>
      <c r="BU14"/>
      <c r="EB14" s="236"/>
      <c r="EC14" s="237"/>
      <c r="ED14" s="237"/>
      <c r="EE14" s="237"/>
      <c r="EF14" s="237"/>
      <c r="EG14" s="237"/>
      <c r="EH14" s="237"/>
      <c r="EI14" s="236"/>
    </row>
    <row r="15" spans="1:139" ht="25.5" customHeight="1" thickBot="1">
      <c r="A15" s="175">
        <v>8</v>
      </c>
      <c r="B15" s="447">
        <v>0</v>
      </c>
      <c r="C15" s="448">
        <v>0.187</v>
      </c>
      <c r="D15" s="448">
        <v>0.214</v>
      </c>
      <c r="E15" s="449">
        <v>0</v>
      </c>
      <c r="F15" s="449">
        <v>14.4</v>
      </c>
      <c r="G15" s="449">
        <v>15.6</v>
      </c>
      <c r="H15" s="449">
        <v>259.3</v>
      </c>
      <c r="I15" s="449">
        <v>5.9</v>
      </c>
      <c r="J15" s="449">
        <v>10.5</v>
      </c>
      <c r="K15" s="450">
        <v>0.977</v>
      </c>
      <c r="L15" s="449">
        <v>212</v>
      </c>
      <c r="M15" s="449">
        <v>6</v>
      </c>
      <c r="N15" s="449">
        <v>10.7</v>
      </c>
      <c r="O15" s="450">
        <v>0.972</v>
      </c>
      <c r="P15" s="449">
        <v>20</v>
      </c>
      <c r="Q15" s="451">
        <v>0</v>
      </c>
      <c r="R15" s="449">
        <v>2.9</v>
      </c>
      <c r="S15" s="449">
        <v>6.4</v>
      </c>
      <c r="T15" s="449">
        <v>7.8</v>
      </c>
      <c r="U15" s="449">
        <v>7.5</v>
      </c>
      <c r="V15" s="449">
        <v>25.2</v>
      </c>
      <c r="W15" s="449">
        <v>0.2</v>
      </c>
      <c r="X15" s="449">
        <v>0.4</v>
      </c>
      <c r="Y15" s="450">
        <v>0.992</v>
      </c>
      <c r="Z15" s="449">
        <v>1</v>
      </c>
      <c r="AA15" s="452"/>
      <c r="AB15" s="451">
        <v>0.02</v>
      </c>
      <c r="AC15" s="449">
        <v>16.4</v>
      </c>
      <c r="AD15" s="449">
        <v>7.8</v>
      </c>
      <c r="AE15" s="454"/>
      <c r="AF15" s="386">
        <v>0.187</v>
      </c>
      <c r="AG15" s="386">
        <v>0.214</v>
      </c>
      <c r="AH15" s="485">
        <v>404.4</v>
      </c>
      <c r="AI15" s="485">
        <v>10.5</v>
      </c>
      <c r="AJ15" s="485">
        <v>330.6</v>
      </c>
      <c r="AK15" s="485">
        <v>10.7</v>
      </c>
      <c r="AL15" s="485">
        <v>39.3</v>
      </c>
      <c r="AM15" s="485">
        <v>0.4</v>
      </c>
      <c r="AN15" s="486">
        <f t="shared" si="2"/>
        <v>0.9772464327034323</v>
      </c>
      <c r="AO15" s="486">
        <f t="shared" si="0"/>
        <v>0.9716981132075472</v>
      </c>
      <c r="AP15" s="232">
        <f t="shared" si="1"/>
        <v>0.9920634920634921</v>
      </c>
      <c r="AR15" s="238"/>
      <c r="AS15" s="234"/>
      <c r="AT15" s="234"/>
      <c r="AU15" s="234"/>
      <c r="AV15" s="234"/>
      <c r="AW15" s="234"/>
      <c r="AX15" s="235"/>
      <c r="AY15" s="234"/>
      <c r="AZ15" s="234"/>
      <c r="BA15" s="234"/>
      <c r="BB15" s="235"/>
      <c r="BC15" s="234"/>
      <c r="BD15" s="234"/>
      <c r="BQ15"/>
      <c r="BR15"/>
      <c r="BS15"/>
      <c r="BT15"/>
      <c r="BU15"/>
      <c r="EB15" s="236"/>
      <c r="EC15" s="237"/>
      <c r="ED15" s="237"/>
      <c r="EE15" s="237"/>
      <c r="EF15" s="237"/>
      <c r="EG15" s="237"/>
      <c r="EH15" s="237"/>
      <c r="EI15" s="236"/>
    </row>
    <row r="16" spans="1:139" ht="25.5" customHeight="1" thickBot="1">
      <c r="A16" s="175">
        <v>9</v>
      </c>
      <c r="B16" s="447">
        <v>0.06</v>
      </c>
      <c r="C16" s="448">
        <v>0.221</v>
      </c>
      <c r="D16" s="448">
        <v>0.226</v>
      </c>
      <c r="E16" s="449">
        <v>0</v>
      </c>
      <c r="F16" s="449">
        <v>15.4</v>
      </c>
      <c r="G16" s="449">
        <v>15.9</v>
      </c>
      <c r="H16" s="449">
        <v>234.6</v>
      </c>
      <c r="I16" s="449">
        <v>6.1</v>
      </c>
      <c r="J16" s="449">
        <v>11.5</v>
      </c>
      <c r="K16" s="450">
        <v>0.974</v>
      </c>
      <c r="L16" s="449">
        <v>1060</v>
      </c>
      <c r="M16" s="449">
        <v>4.4</v>
      </c>
      <c r="N16" s="449">
        <v>8.3</v>
      </c>
      <c r="O16" s="450">
        <v>0.996</v>
      </c>
      <c r="P16" s="449">
        <v>25</v>
      </c>
      <c r="Q16" s="451">
        <v>0</v>
      </c>
      <c r="R16" s="449">
        <v>1.4</v>
      </c>
      <c r="S16" s="449">
        <v>6.8</v>
      </c>
      <c r="T16" s="449">
        <v>7.75</v>
      </c>
      <c r="U16" s="449">
        <v>7.5</v>
      </c>
      <c r="V16" s="449"/>
      <c r="W16" s="449"/>
      <c r="X16" s="449"/>
      <c r="Y16" s="450"/>
      <c r="Z16" s="449">
        <v>4.1</v>
      </c>
      <c r="AA16" s="452"/>
      <c r="AB16" s="451">
        <v>0</v>
      </c>
      <c r="AC16" s="449">
        <v>12.5</v>
      </c>
      <c r="AD16" s="449">
        <v>7.8</v>
      </c>
      <c r="AE16" s="454"/>
      <c r="AF16" s="386">
        <v>0.221</v>
      </c>
      <c r="AG16" s="386">
        <v>0.226</v>
      </c>
      <c r="AH16" s="485">
        <v>432.4</v>
      </c>
      <c r="AI16" s="485">
        <v>11.5</v>
      </c>
      <c r="AJ16" s="485">
        <v>1953.7</v>
      </c>
      <c r="AK16" s="485">
        <v>8.3</v>
      </c>
      <c r="AL16" s="485"/>
      <c r="AM16" s="485"/>
      <c r="AN16" s="486">
        <f t="shared" si="2"/>
        <v>0.973998294970162</v>
      </c>
      <c r="AO16" s="486">
        <f t="shared" si="0"/>
        <v>0.9958490566037735</v>
      </c>
      <c r="AP16" s="232">
        <f t="shared" si="1"/>
      </c>
      <c r="AR16" s="238"/>
      <c r="AS16" s="234"/>
      <c r="AT16" s="234"/>
      <c r="AU16" s="234"/>
      <c r="AV16" s="234"/>
      <c r="AW16" s="234"/>
      <c r="AX16" s="235"/>
      <c r="AY16" s="234"/>
      <c r="AZ16" s="234"/>
      <c r="BA16" s="234"/>
      <c r="BB16" s="235"/>
      <c r="BC16" s="234"/>
      <c r="BD16" s="234"/>
      <c r="BQ16"/>
      <c r="BR16"/>
      <c r="BS16"/>
      <c r="BT16"/>
      <c r="BU16"/>
      <c r="EB16" s="236"/>
      <c r="EC16" s="237"/>
      <c r="ED16" s="237"/>
      <c r="EE16" s="237"/>
      <c r="EF16" s="237"/>
      <c r="EG16" s="237"/>
      <c r="EH16" s="237"/>
      <c r="EI16" s="236"/>
    </row>
    <row r="17" spans="1:139" ht="25.5" customHeight="1" thickBot="1">
      <c r="A17" s="175">
        <v>10</v>
      </c>
      <c r="B17" s="447">
        <v>0</v>
      </c>
      <c r="C17" s="448">
        <v>0.236</v>
      </c>
      <c r="D17" s="448">
        <v>0.235</v>
      </c>
      <c r="E17" s="449">
        <v>0</v>
      </c>
      <c r="F17" s="449">
        <v>15.8</v>
      </c>
      <c r="G17" s="449">
        <v>16.4</v>
      </c>
      <c r="H17" s="449"/>
      <c r="I17" s="449"/>
      <c r="J17" s="449">
        <f aca="true" t="shared" si="3" ref="J17:J38">+IF(AI17=0,"",AI17)</f>
      </c>
      <c r="K17" s="450">
        <f aca="true" t="shared" si="4" ref="K17:K38">+AN17</f>
      </c>
      <c r="L17" s="449"/>
      <c r="M17" s="449"/>
      <c r="N17" s="449">
        <f aca="true" t="shared" si="5" ref="N17:N38">+IF(AK17=0,"",AK17)</f>
      </c>
      <c r="O17" s="450">
        <f aca="true" t="shared" si="6" ref="O17:O38">+AO17</f>
      </c>
      <c r="P17" s="449">
        <v>25</v>
      </c>
      <c r="Q17" s="451">
        <v>0</v>
      </c>
      <c r="R17" s="449">
        <v>2.5</v>
      </c>
      <c r="S17" s="449">
        <v>6.65</v>
      </c>
      <c r="T17" s="449">
        <v>7.9</v>
      </c>
      <c r="U17" s="449">
        <v>7.55</v>
      </c>
      <c r="V17" s="449">
        <v>34</v>
      </c>
      <c r="W17" s="449">
        <v>0.7</v>
      </c>
      <c r="X17" s="449">
        <v>1.4</v>
      </c>
      <c r="Y17" s="450">
        <f aca="true" t="shared" si="7" ref="Y17:Y24">+AP17</f>
        <v>0.9794117647058823</v>
      </c>
      <c r="Z17" s="449"/>
      <c r="AA17" s="452"/>
      <c r="AB17" s="451">
        <v>0</v>
      </c>
      <c r="AC17" s="449">
        <v>18</v>
      </c>
      <c r="AD17" s="449">
        <v>7.8</v>
      </c>
      <c r="AE17" s="454"/>
      <c r="AF17" s="386">
        <v>0.236</v>
      </c>
      <c r="AG17" s="386">
        <v>0.235</v>
      </c>
      <c r="AH17" s="485"/>
      <c r="AI17" s="485"/>
      <c r="AJ17" s="485"/>
      <c r="AK17" s="485"/>
      <c r="AL17" s="485">
        <v>66.9</v>
      </c>
      <c r="AM17" s="485">
        <v>1.4</v>
      </c>
      <c r="AN17" s="235">
        <f t="shared" si="2"/>
      </c>
      <c r="AO17" s="235">
        <f t="shared" si="0"/>
      </c>
      <c r="AP17" s="232">
        <f t="shared" si="1"/>
        <v>0.9794117647058823</v>
      </c>
      <c r="AR17" s="238"/>
      <c r="AS17" s="234"/>
      <c r="AT17" s="234"/>
      <c r="AU17" s="234"/>
      <c r="AV17" s="234"/>
      <c r="AW17" s="234"/>
      <c r="AX17" s="235"/>
      <c r="AY17" s="234"/>
      <c r="AZ17" s="234"/>
      <c r="BA17" s="234"/>
      <c r="BB17" s="235"/>
      <c r="BC17" s="234"/>
      <c r="BD17" s="234"/>
      <c r="EB17" s="236"/>
      <c r="EC17" s="237"/>
      <c r="ED17" s="237"/>
      <c r="EE17" s="237"/>
      <c r="EF17" s="237"/>
      <c r="EG17" s="237"/>
      <c r="EH17" s="237"/>
      <c r="EI17" s="236"/>
    </row>
    <row r="18" spans="1:139" ht="25.5" customHeight="1" thickBot="1">
      <c r="A18" s="175">
        <v>11</v>
      </c>
      <c r="B18" s="447">
        <f>+IF(DailyOps!E17=0,"",DailyOps!E17)</f>
        <v>0.45</v>
      </c>
      <c r="C18" s="448">
        <v>0.43</v>
      </c>
      <c r="D18" s="448">
        <v>0.372</v>
      </c>
      <c r="E18" s="449">
        <v>0</v>
      </c>
      <c r="F18" s="449">
        <v>15.1</v>
      </c>
      <c r="G18" s="449">
        <v>16.6</v>
      </c>
      <c r="H18" s="449"/>
      <c r="I18" s="449"/>
      <c r="J18" s="449">
        <f t="shared" si="3"/>
      </c>
      <c r="K18" s="450">
        <f t="shared" si="4"/>
      </c>
      <c r="L18" s="449"/>
      <c r="M18" s="449"/>
      <c r="N18" s="449">
        <f t="shared" si="5"/>
      </c>
      <c r="O18" s="450">
        <f t="shared" si="6"/>
      </c>
      <c r="P18" s="449">
        <v>15</v>
      </c>
      <c r="Q18" s="451">
        <v>0</v>
      </c>
      <c r="R18" s="449">
        <v>2</v>
      </c>
      <c r="S18" s="449">
        <v>6.4</v>
      </c>
      <c r="T18" s="449">
        <v>7.9</v>
      </c>
      <c r="U18" s="449">
        <v>7.6</v>
      </c>
      <c r="V18" s="449"/>
      <c r="W18" s="449"/>
      <c r="X18" s="449">
        <f aca="true" t="shared" si="8" ref="X18:X24">+IF(AM18=0,"",AM18)</f>
      </c>
      <c r="Y18" s="450">
        <f t="shared" si="7"/>
      </c>
      <c r="Z18" s="449"/>
      <c r="AA18" s="452"/>
      <c r="AB18" s="451">
        <v>0.01</v>
      </c>
      <c r="AC18" s="449">
        <f>+IF(DailyOps!F17=0,"",DailyOps!F17)</f>
        <v>16.4</v>
      </c>
      <c r="AD18" s="449">
        <v>7.8</v>
      </c>
      <c r="AE18" s="454"/>
      <c r="AF18" s="386">
        <f aca="true" t="shared" si="9" ref="AF18:AF38">+IF(ISERR(C18/1),"",(C18/1))</f>
        <v>0.43</v>
      </c>
      <c r="AG18" s="386">
        <f aca="true" t="shared" si="10" ref="AG18:AG38">+IF(ISERR(D18/1),"",(D18/1))</f>
        <v>0.372</v>
      </c>
      <c r="AH18" s="485"/>
      <c r="AI18" s="485"/>
      <c r="AJ18" s="485"/>
      <c r="AK18" s="485"/>
      <c r="AL18" s="485"/>
      <c r="AM18" s="485"/>
      <c r="AN18" s="235">
        <f t="shared" si="2"/>
      </c>
      <c r="AO18" s="235">
        <f t="shared" si="0"/>
      </c>
      <c r="AP18" s="232">
        <f t="shared" si="1"/>
      </c>
      <c r="AR18" s="238"/>
      <c r="AS18" s="234"/>
      <c r="AT18" s="234"/>
      <c r="AU18" s="234"/>
      <c r="AV18" s="234"/>
      <c r="AW18" s="234"/>
      <c r="AX18" s="235"/>
      <c r="AY18" s="234"/>
      <c r="AZ18" s="234"/>
      <c r="BA18" s="234"/>
      <c r="BB18" s="235"/>
      <c r="BC18" s="234"/>
      <c r="BD18" s="234"/>
      <c r="EB18" s="239"/>
      <c r="EC18" s="237"/>
      <c r="ED18" s="237"/>
      <c r="EE18" s="237"/>
      <c r="EF18" s="237"/>
      <c r="EG18" s="237"/>
      <c r="EH18" s="237"/>
      <c r="EI18" s="239"/>
    </row>
    <row r="19" spans="1:139" ht="25.5" customHeight="1" thickBot="1">
      <c r="A19" s="175">
        <v>12</v>
      </c>
      <c r="B19" s="447">
        <v>1.14</v>
      </c>
      <c r="C19" s="448">
        <v>0.376</v>
      </c>
      <c r="D19" s="448">
        <v>0.337</v>
      </c>
      <c r="E19" s="449">
        <v>0</v>
      </c>
      <c r="F19" s="449">
        <v>14.5</v>
      </c>
      <c r="G19" s="449">
        <v>15.9</v>
      </c>
      <c r="H19" s="449"/>
      <c r="I19" s="449"/>
      <c r="J19" s="449">
        <f t="shared" si="3"/>
      </c>
      <c r="K19" s="450">
        <f t="shared" si="4"/>
      </c>
      <c r="L19" s="449"/>
      <c r="M19" s="449"/>
      <c r="N19" s="449">
        <f t="shared" si="5"/>
      </c>
      <c r="O19" s="450">
        <f t="shared" si="6"/>
      </c>
      <c r="P19" s="449"/>
      <c r="Q19" s="451"/>
      <c r="R19" s="449">
        <v>5</v>
      </c>
      <c r="S19" s="449">
        <v>6.5</v>
      </c>
      <c r="T19" s="449">
        <v>7.85</v>
      </c>
      <c r="U19" s="449">
        <v>7.6</v>
      </c>
      <c r="V19" s="449"/>
      <c r="W19" s="449"/>
      <c r="X19" s="449">
        <f t="shared" si="8"/>
      </c>
      <c r="Y19" s="450">
        <f t="shared" si="7"/>
      </c>
      <c r="Z19" s="449"/>
      <c r="AA19" s="452"/>
      <c r="AB19" s="451">
        <v>0</v>
      </c>
      <c r="AC19" s="449">
        <f>+IF(DailyOps!F18=0,"",DailyOps!F18)</f>
        <v>18</v>
      </c>
      <c r="AD19" s="449">
        <f>+IF(DailyOps!G18=0,"",DailyOps!G18)</f>
        <v>7.8</v>
      </c>
      <c r="AE19" s="454"/>
      <c r="AF19" s="386">
        <f t="shared" si="9"/>
        <v>0.376</v>
      </c>
      <c r="AG19" s="386">
        <f t="shared" si="10"/>
        <v>0.337</v>
      </c>
      <c r="AH19" s="485"/>
      <c r="AI19" s="485"/>
      <c r="AJ19" s="485"/>
      <c r="AK19" s="485"/>
      <c r="AL19" s="485"/>
      <c r="AM19" s="485"/>
      <c r="AN19" s="235">
        <f t="shared" si="2"/>
      </c>
      <c r="AO19" s="235">
        <f t="shared" si="0"/>
      </c>
      <c r="AP19" s="232">
        <f t="shared" si="1"/>
      </c>
      <c r="AR19" s="238"/>
      <c r="AS19" s="234"/>
      <c r="AT19" s="234"/>
      <c r="AU19" s="234"/>
      <c r="AV19" s="234"/>
      <c r="AW19" s="234"/>
      <c r="AX19" s="235"/>
      <c r="AY19" s="234"/>
      <c r="AZ19" s="234"/>
      <c r="BA19" s="234"/>
      <c r="BB19" s="235"/>
      <c r="BC19" s="234"/>
      <c r="BD19" s="234"/>
      <c r="EB19" s="236"/>
      <c r="EC19" s="237"/>
      <c r="ED19" s="237"/>
      <c r="EE19" s="237"/>
      <c r="EF19" s="237"/>
      <c r="EG19" s="237"/>
      <c r="EH19" s="237"/>
      <c r="EI19" s="236"/>
    </row>
    <row r="20" spans="1:139" ht="25.5" customHeight="1" thickBot="1">
      <c r="A20" s="175">
        <v>13</v>
      </c>
      <c r="B20" s="447">
        <v>0.11</v>
      </c>
      <c r="C20" s="448">
        <v>0.27</v>
      </c>
      <c r="D20" s="448">
        <v>0.256</v>
      </c>
      <c r="E20" s="449">
        <v>0</v>
      </c>
      <c r="F20" s="449"/>
      <c r="G20" s="449"/>
      <c r="H20" s="449"/>
      <c r="I20" s="449"/>
      <c r="J20" s="449">
        <f t="shared" si="3"/>
      </c>
      <c r="K20" s="450">
        <f t="shared" si="4"/>
      </c>
      <c r="L20" s="449"/>
      <c r="M20" s="449"/>
      <c r="N20" s="449">
        <f t="shared" si="5"/>
      </c>
      <c r="O20" s="450">
        <f t="shared" si="6"/>
      </c>
      <c r="P20" s="449"/>
      <c r="Q20" s="451"/>
      <c r="R20" s="449"/>
      <c r="S20" s="449"/>
      <c r="T20" s="449"/>
      <c r="U20" s="449"/>
      <c r="V20" s="449"/>
      <c r="W20" s="449"/>
      <c r="X20" s="449">
        <f t="shared" si="8"/>
      </c>
      <c r="Y20" s="450">
        <f t="shared" si="7"/>
      </c>
      <c r="Z20" s="449"/>
      <c r="AA20" s="452"/>
      <c r="AB20" s="451"/>
      <c r="AC20" s="449">
        <f>+IF(DailyOps!F19=0,"",DailyOps!F19)</f>
        <v>15.6</v>
      </c>
      <c r="AD20" s="449">
        <f>+IF(DailyOps!G19=0,"",DailyOps!G19)</f>
        <v>7.8</v>
      </c>
      <c r="AE20" s="454"/>
      <c r="AF20" s="386">
        <f t="shared" si="9"/>
        <v>0.27</v>
      </c>
      <c r="AG20" s="386">
        <f t="shared" si="10"/>
        <v>0.256</v>
      </c>
      <c r="AH20" s="485"/>
      <c r="AI20" s="485"/>
      <c r="AJ20" s="485"/>
      <c r="AK20" s="485"/>
      <c r="AL20" s="485"/>
      <c r="AM20" s="485"/>
      <c r="AN20" s="235">
        <f t="shared" si="2"/>
      </c>
      <c r="AO20" s="235">
        <f t="shared" si="0"/>
      </c>
      <c r="AP20" s="232">
        <f t="shared" si="1"/>
      </c>
      <c r="AR20" s="238"/>
      <c r="AS20" s="234"/>
      <c r="AT20" s="234"/>
      <c r="AU20" s="234"/>
      <c r="AV20" s="234"/>
      <c r="AW20" s="234"/>
      <c r="AX20" s="235"/>
      <c r="AY20" s="234"/>
      <c r="AZ20" s="234"/>
      <c r="BA20" s="234"/>
      <c r="BB20" s="235"/>
      <c r="BC20" s="234"/>
      <c r="BD20" s="234"/>
      <c r="EB20" s="236"/>
      <c r="EC20" s="237"/>
      <c r="ED20" s="237"/>
      <c r="EE20" s="237"/>
      <c r="EF20" s="237"/>
      <c r="EG20" s="237"/>
      <c r="EH20" s="237"/>
      <c r="EI20" s="236"/>
    </row>
    <row r="21" spans="1:139" ht="25.5" customHeight="1" thickBot="1">
      <c r="A21" s="175">
        <v>14</v>
      </c>
      <c r="B21" s="447">
        <v>0</v>
      </c>
      <c r="C21" s="448">
        <v>0.249</v>
      </c>
      <c r="D21" s="448">
        <v>0.25</v>
      </c>
      <c r="E21" s="449">
        <v>0</v>
      </c>
      <c r="F21" s="449"/>
      <c r="G21" s="449"/>
      <c r="H21" s="449"/>
      <c r="I21" s="449"/>
      <c r="J21" s="449">
        <f t="shared" si="3"/>
      </c>
      <c r="K21" s="450">
        <f t="shared" si="4"/>
      </c>
      <c r="L21" s="449"/>
      <c r="M21" s="449"/>
      <c r="N21" s="449">
        <f t="shared" si="5"/>
      </c>
      <c r="O21" s="450">
        <f t="shared" si="6"/>
      </c>
      <c r="P21" s="449">
        <v>21</v>
      </c>
      <c r="Q21" s="451">
        <v>0</v>
      </c>
      <c r="R21" s="449"/>
      <c r="S21" s="449"/>
      <c r="T21" s="449"/>
      <c r="U21" s="449"/>
      <c r="V21" s="449"/>
      <c r="W21" s="449"/>
      <c r="X21" s="449">
        <f t="shared" si="8"/>
      </c>
      <c r="Y21" s="450">
        <f t="shared" si="7"/>
      </c>
      <c r="Z21" s="449">
        <v>1</v>
      </c>
      <c r="AA21" s="452"/>
      <c r="AB21" s="451"/>
      <c r="AC21" s="449">
        <f>+IF(DailyOps!F20=0,"",DailyOps!F20)</f>
        <v>19.5</v>
      </c>
      <c r="AD21" s="449">
        <f>+IF(DailyOps!G20=0,"",DailyOps!G20)</f>
        <v>7.8</v>
      </c>
      <c r="AE21" s="454"/>
      <c r="AF21" s="386">
        <f t="shared" si="9"/>
        <v>0.249</v>
      </c>
      <c r="AG21" s="386">
        <f t="shared" si="10"/>
        <v>0.25</v>
      </c>
      <c r="AH21" s="485"/>
      <c r="AI21" s="485"/>
      <c r="AJ21" s="485"/>
      <c r="AK21" s="485"/>
      <c r="AL21" s="485"/>
      <c r="AM21" s="485"/>
      <c r="AN21" s="232">
        <f t="shared" si="2"/>
      </c>
      <c r="AO21" s="235">
        <f t="shared" si="0"/>
      </c>
      <c r="AP21" s="232">
        <f t="shared" si="1"/>
      </c>
      <c r="AR21" s="238"/>
      <c r="AS21" s="234"/>
      <c r="AT21" s="234"/>
      <c r="AU21" s="234"/>
      <c r="AV21" s="234"/>
      <c r="AW21" s="234"/>
      <c r="AX21" s="235"/>
      <c r="AY21" s="234"/>
      <c r="AZ21" s="234"/>
      <c r="BA21" s="234"/>
      <c r="BB21" s="235"/>
      <c r="BC21" s="234"/>
      <c r="BD21" s="234"/>
      <c r="EB21" s="236"/>
      <c r="EC21" s="237"/>
      <c r="ED21" s="237"/>
      <c r="EE21" s="237"/>
      <c r="EF21" s="237"/>
      <c r="EG21" s="237"/>
      <c r="EH21" s="237"/>
      <c r="EI21" s="236"/>
    </row>
    <row r="22" spans="1:139" ht="25.5" customHeight="1" thickBot="1">
      <c r="A22" s="175">
        <v>15</v>
      </c>
      <c r="B22" s="447">
        <v>0</v>
      </c>
      <c r="C22" s="448">
        <v>0.247</v>
      </c>
      <c r="D22" s="448">
        <v>0.254</v>
      </c>
      <c r="E22" s="449">
        <v>0</v>
      </c>
      <c r="F22" s="449">
        <v>15.7</v>
      </c>
      <c r="G22" s="449">
        <v>16.3</v>
      </c>
      <c r="H22" s="449">
        <v>229.6</v>
      </c>
      <c r="I22" s="449">
        <v>4.4</v>
      </c>
      <c r="J22" s="449">
        <f t="shared" si="3"/>
        <v>9.320784000000002</v>
      </c>
      <c r="K22" s="450">
        <f t="shared" si="4"/>
        <v>0.9808362369337978</v>
      </c>
      <c r="L22" s="449">
        <v>276</v>
      </c>
      <c r="M22" s="449">
        <v>10</v>
      </c>
      <c r="N22" s="449">
        <f t="shared" si="5"/>
        <v>21.1836</v>
      </c>
      <c r="O22" s="450">
        <f t="shared" si="6"/>
        <v>0.9637681159420289</v>
      </c>
      <c r="P22" s="449">
        <v>15</v>
      </c>
      <c r="Q22" s="451">
        <v>0</v>
      </c>
      <c r="R22" s="449">
        <v>2.4</v>
      </c>
      <c r="S22" s="449">
        <v>6.6</v>
      </c>
      <c r="T22" s="449">
        <v>7.7</v>
      </c>
      <c r="U22" s="449">
        <v>7.6</v>
      </c>
      <c r="V22" s="449">
        <v>34.1</v>
      </c>
      <c r="W22" s="449">
        <v>1.5</v>
      </c>
      <c r="X22" s="449">
        <f t="shared" si="8"/>
        <v>3.17754</v>
      </c>
      <c r="Y22" s="450">
        <f t="shared" si="7"/>
        <v>0.9560117302052786</v>
      </c>
      <c r="Z22" s="449"/>
      <c r="AA22" s="452"/>
      <c r="AB22" s="451">
        <v>0.02</v>
      </c>
      <c r="AC22" s="449">
        <f>+IF(DailyOps!F21=0,"",DailyOps!F21)</f>
        <v>14.6</v>
      </c>
      <c r="AD22" s="449">
        <f>+IF(DailyOps!G21=0,"",DailyOps!G21)</f>
        <v>7.8</v>
      </c>
      <c r="AE22" s="454"/>
      <c r="AF22" s="386">
        <f t="shared" si="9"/>
        <v>0.247</v>
      </c>
      <c r="AG22" s="386">
        <f t="shared" si="10"/>
        <v>0.254</v>
      </c>
      <c r="AH22" s="485">
        <f aca="true" t="shared" si="11" ref="AH22:AH38">IF(ISERR(AF22*H22*8.34),"",(AF22*H22*8.34))</f>
        <v>472.971408</v>
      </c>
      <c r="AI22" s="485">
        <f aca="true" t="shared" si="12" ref="AI22:AI38">IF(ISERR(AG22*I22*8.34),"",(AG22*I22*8.34))</f>
        <v>9.320784000000002</v>
      </c>
      <c r="AJ22" s="487">
        <f aca="true" t="shared" si="13" ref="AJ22:AJ38">IF(ISERR(AF22*L22*8.34),"",(AF22*L22*8.34))</f>
        <v>568.55448</v>
      </c>
      <c r="AK22" s="487">
        <f aca="true" t="shared" si="14" ref="AK22:AK38">IF(ISERR(AG22*M22*8.34),"",(AG22*M22*8.34))</f>
        <v>21.1836</v>
      </c>
      <c r="AL22" s="487">
        <f aca="true" t="shared" si="15" ref="AL22:AL38">IF(ISERR(AF22*V22*8.34),"",(AF22*V22*8.34))</f>
        <v>70.24531800000001</v>
      </c>
      <c r="AM22" s="487">
        <f aca="true" t="shared" si="16" ref="AM22:AM38">IF(ISERR(AG22*W22*8.34),"",(AG22*W22*8.34))</f>
        <v>3.17754</v>
      </c>
      <c r="AN22" s="232">
        <f t="shared" si="2"/>
        <v>0.9808362369337978</v>
      </c>
      <c r="AO22" s="232">
        <f t="shared" si="0"/>
        <v>0.9637681159420289</v>
      </c>
      <c r="AP22" s="232">
        <f t="shared" si="1"/>
        <v>0.9560117302052786</v>
      </c>
      <c r="AR22" s="238"/>
      <c r="AS22" s="234"/>
      <c r="AT22" s="234"/>
      <c r="AU22" s="234"/>
      <c r="AV22" s="234"/>
      <c r="AW22" s="234"/>
      <c r="AX22" s="235"/>
      <c r="AY22" s="234"/>
      <c r="AZ22" s="234"/>
      <c r="BA22" s="234"/>
      <c r="BB22" s="235"/>
      <c r="BC22" s="234"/>
      <c r="BD22" s="234"/>
      <c r="EB22" s="236"/>
      <c r="EC22" s="237"/>
      <c r="ED22" s="237"/>
      <c r="EE22" s="237"/>
      <c r="EF22" s="237"/>
      <c r="EG22" s="237"/>
      <c r="EH22" s="237"/>
      <c r="EI22" s="236"/>
    </row>
    <row r="23" spans="1:139" ht="25.5" customHeight="1" thickBot="1">
      <c r="A23" s="175">
        <v>16</v>
      </c>
      <c r="B23" s="447">
        <v>0</v>
      </c>
      <c r="C23" s="448">
        <v>0.185</v>
      </c>
      <c r="D23" s="448">
        <v>0.24</v>
      </c>
      <c r="E23" s="449">
        <v>0</v>
      </c>
      <c r="F23" s="449">
        <v>15.4</v>
      </c>
      <c r="G23" s="449">
        <v>16.9</v>
      </c>
      <c r="H23" s="449">
        <v>243.5</v>
      </c>
      <c r="I23" s="449">
        <v>6.6</v>
      </c>
      <c r="J23" s="449">
        <f t="shared" si="3"/>
        <v>13.21056</v>
      </c>
      <c r="K23" s="450">
        <f t="shared" si="4"/>
        <v>0.9728952772073922</v>
      </c>
      <c r="L23" s="449">
        <v>236</v>
      </c>
      <c r="M23" s="449">
        <v>5.6</v>
      </c>
      <c r="N23" s="449">
        <f t="shared" si="5"/>
        <v>11.20896</v>
      </c>
      <c r="O23" s="450">
        <f t="shared" si="6"/>
        <v>0.976271186440678</v>
      </c>
      <c r="P23" s="449">
        <v>16</v>
      </c>
      <c r="Q23" s="451">
        <v>0</v>
      </c>
      <c r="R23" s="449">
        <v>2.9</v>
      </c>
      <c r="S23" s="449">
        <v>6.5</v>
      </c>
      <c r="T23" s="449">
        <v>7.9</v>
      </c>
      <c r="U23" s="449">
        <v>7.5</v>
      </c>
      <c r="V23" s="449">
        <v>30.5</v>
      </c>
      <c r="W23" s="449">
        <v>2</v>
      </c>
      <c r="X23" s="449">
        <f t="shared" si="8"/>
        <v>4.0032</v>
      </c>
      <c r="Y23" s="450">
        <f t="shared" si="7"/>
        <v>0.9344262295081968</v>
      </c>
      <c r="Z23" s="449">
        <v>2</v>
      </c>
      <c r="AA23" s="452"/>
      <c r="AB23" s="451">
        <v>0.01</v>
      </c>
      <c r="AC23" s="449">
        <f>+IF(DailyOps!F22=0,"",DailyOps!F22)</f>
        <v>15.8</v>
      </c>
      <c r="AD23" s="449">
        <f>+IF(DailyOps!G22=0,"",DailyOps!G22)</f>
        <v>7.8</v>
      </c>
      <c r="AE23" s="454"/>
      <c r="AF23" s="386">
        <f t="shared" si="9"/>
        <v>0.185</v>
      </c>
      <c r="AG23" s="386">
        <f t="shared" si="10"/>
        <v>0.24</v>
      </c>
      <c r="AH23" s="485">
        <f t="shared" si="11"/>
        <v>375.69615</v>
      </c>
      <c r="AI23" s="485">
        <f t="shared" si="12"/>
        <v>13.21056</v>
      </c>
      <c r="AJ23" s="487">
        <f t="shared" si="13"/>
        <v>364.1244</v>
      </c>
      <c r="AK23" s="487">
        <f t="shared" si="14"/>
        <v>11.20896</v>
      </c>
      <c r="AL23" s="487">
        <f t="shared" si="15"/>
        <v>47.05845</v>
      </c>
      <c r="AM23" s="487">
        <f t="shared" si="16"/>
        <v>4.0032</v>
      </c>
      <c r="AN23" s="232">
        <f t="shared" si="2"/>
        <v>0.9728952772073922</v>
      </c>
      <c r="AO23" s="232">
        <f t="shared" si="0"/>
        <v>0.976271186440678</v>
      </c>
      <c r="AP23" s="232">
        <f t="shared" si="1"/>
        <v>0.9344262295081968</v>
      </c>
      <c r="AR23" s="238"/>
      <c r="AS23" s="234"/>
      <c r="AT23" s="234"/>
      <c r="AU23" s="234"/>
      <c r="AV23" s="234"/>
      <c r="AW23" s="234"/>
      <c r="AX23" s="235"/>
      <c r="AY23" s="234"/>
      <c r="AZ23" s="234"/>
      <c r="BA23" s="234"/>
      <c r="BB23" s="235"/>
      <c r="BC23" s="234"/>
      <c r="BD23" s="234"/>
      <c r="EB23" s="236"/>
      <c r="EC23" s="237"/>
      <c r="ED23" s="237"/>
      <c r="EE23" s="237"/>
      <c r="EF23" s="237"/>
      <c r="EG23" s="237"/>
      <c r="EH23" s="237"/>
      <c r="EI23" s="236"/>
    </row>
    <row r="24" spans="1:139" ht="25.5" customHeight="1" thickBot="1">
      <c r="A24" s="175">
        <v>17</v>
      </c>
      <c r="B24" s="447">
        <v>0</v>
      </c>
      <c r="C24" s="448">
        <v>0.209</v>
      </c>
      <c r="D24" s="448">
        <v>0.255</v>
      </c>
      <c r="E24" s="449">
        <v>0</v>
      </c>
      <c r="F24" s="449">
        <v>15.9</v>
      </c>
      <c r="G24" s="449">
        <v>17.1</v>
      </c>
      <c r="H24" s="449">
        <v>295.02</v>
      </c>
      <c r="I24" s="449">
        <v>4.9</v>
      </c>
      <c r="J24" s="449">
        <f t="shared" si="3"/>
        <v>10.42083</v>
      </c>
      <c r="K24" s="450">
        <f t="shared" si="4"/>
        <v>0.983390956545319</v>
      </c>
      <c r="L24" s="449">
        <v>268</v>
      </c>
      <c r="M24" s="449">
        <v>1.2</v>
      </c>
      <c r="N24" s="449">
        <f t="shared" si="5"/>
        <v>2.55204</v>
      </c>
      <c r="O24" s="450">
        <f t="shared" si="6"/>
        <v>0.9955223880597015</v>
      </c>
      <c r="P24" s="449">
        <v>27</v>
      </c>
      <c r="Q24" s="451">
        <v>0</v>
      </c>
      <c r="R24" s="449">
        <v>2.5</v>
      </c>
      <c r="S24" s="449">
        <v>6.6</v>
      </c>
      <c r="T24" s="449">
        <v>7.8</v>
      </c>
      <c r="U24" s="449">
        <v>7.5</v>
      </c>
      <c r="V24" s="449">
        <v>35</v>
      </c>
      <c r="W24" s="449">
        <v>3.2</v>
      </c>
      <c r="X24" s="449">
        <f t="shared" si="8"/>
        <v>6.80544</v>
      </c>
      <c r="Y24" s="450">
        <f t="shared" si="7"/>
        <v>0.9085714285714286</v>
      </c>
      <c r="Z24" s="449">
        <v>1</v>
      </c>
      <c r="AA24" s="452"/>
      <c r="AB24" s="451">
        <v>0.01</v>
      </c>
      <c r="AC24" s="449">
        <f>+IF(DailyOps!F23=0,"",DailyOps!F23)</f>
        <v>16.8</v>
      </c>
      <c r="AD24" s="449">
        <f>+IF(DailyOps!G23=0,"",DailyOps!G23)</f>
        <v>7.8</v>
      </c>
      <c r="AE24" s="454"/>
      <c r="AF24" s="386">
        <f t="shared" si="9"/>
        <v>0.209</v>
      </c>
      <c r="AG24" s="386">
        <f t="shared" si="10"/>
        <v>0.255</v>
      </c>
      <c r="AH24" s="485">
        <f t="shared" si="11"/>
        <v>514.2375612</v>
      </c>
      <c r="AI24" s="485">
        <f t="shared" si="12"/>
        <v>10.42083</v>
      </c>
      <c r="AJ24" s="487">
        <f t="shared" si="13"/>
        <v>467.14008</v>
      </c>
      <c r="AK24" s="487">
        <f t="shared" si="14"/>
        <v>2.55204</v>
      </c>
      <c r="AL24" s="487">
        <f t="shared" si="15"/>
        <v>61.007099999999994</v>
      </c>
      <c r="AM24" s="487">
        <f t="shared" si="16"/>
        <v>6.80544</v>
      </c>
      <c r="AN24" s="232">
        <f t="shared" si="2"/>
        <v>0.983390956545319</v>
      </c>
      <c r="AO24" s="232">
        <f t="shared" si="0"/>
        <v>0.9955223880597015</v>
      </c>
      <c r="AP24" s="232">
        <f t="shared" si="1"/>
        <v>0.9085714285714286</v>
      </c>
      <c r="AR24" s="238"/>
      <c r="AS24" s="234"/>
      <c r="AT24" s="234"/>
      <c r="AU24" s="234"/>
      <c r="AV24" s="234"/>
      <c r="AW24" s="234"/>
      <c r="AX24" s="235"/>
      <c r="AY24" s="234"/>
      <c r="AZ24" s="234"/>
      <c r="BA24" s="234"/>
      <c r="BB24" s="235"/>
      <c r="BC24" s="234"/>
      <c r="BD24" s="234"/>
      <c r="EB24" s="236"/>
      <c r="EC24" s="237"/>
      <c r="ED24" s="237"/>
      <c r="EE24" s="237"/>
      <c r="EF24" s="237"/>
      <c r="EG24" s="237"/>
      <c r="EH24" s="237"/>
      <c r="EI24" s="236"/>
    </row>
    <row r="25" spans="1:139" ht="25.5" customHeight="1" thickBot="1">
      <c r="A25" s="175">
        <v>18</v>
      </c>
      <c r="B25" s="447">
        <f>+IF(DailyOps!E24=0,"",DailyOps!E24)</f>
        <v>0.02</v>
      </c>
      <c r="C25" s="448">
        <v>0.218</v>
      </c>
      <c r="D25" s="448">
        <v>0.25</v>
      </c>
      <c r="E25" s="449">
        <v>0</v>
      </c>
      <c r="F25" s="449">
        <v>16.4</v>
      </c>
      <c r="G25" s="449">
        <v>17.5</v>
      </c>
      <c r="H25" s="449"/>
      <c r="I25" s="449"/>
      <c r="J25" s="449">
        <f t="shared" si="3"/>
      </c>
      <c r="K25" s="450">
        <f t="shared" si="4"/>
      </c>
      <c r="L25" s="449"/>
      <c r="M25" s="449"/>
      <c r="N25" s="449">
        <f t="shared" si="5"/>
      </c>
      <c r="O25" s="450">
        <f t="shared" si="6"/>
      </c>
      <c r="P25" s="449">
        <v>29</v>
      </c>
      <c r="Q25" s="451">
        <v>0</v>
      </c>
      <c r="R25" s="449">
        <v>2.6</v>
      </c>
      <c r="S25" s="449">
        <v>6.6</v>
      </c>
      <c r="T25" s="449">
        <v>7.8</v>
      </c>
      <c r="U25" s="449">
        <v>7.5</v>
      </c>
      <c r="V25" s="449"/>
      <c r="W25" s="449"/>
      <c r="X25" s="449">
        <f aca="true" t="shared" si="17" ref="X25:X38">+IF(AM25=0,"",AM25)</f>
      </c>
      <c r="Y25" s="450">
        <f aca="true" t="shared" si="18" ref="Y25:Y38">+AP25</f>
      </c>
      <c r="Z25" s="449">
        <v>1</v>
      </c>
      <c r="AA25" s="452"/>
      <c r="AB25" s="451">
        <v>0.02</v>
      </c>
      <c r="AC25" s="449">
        <f>+IF(DailyOps!F24=0,"",DailyOps!F24)</f>
        <v>16.4</v>
      </c>
      <c r="AD25" s="449">
        <f>+IF(DailyOps!G24=0,"",DailyOps!G24)</f>
        <v>7.8</v>
      </c>
      <c r="AE25" s="454"/>
      <c r="AF25" s="386">
        <f t="shared" si="9"/>
        <v>0.218</v>
      </c>
      <c r="AG25" s="386">
        <f t="shared" si="10"/>
        <v>0.25</v>
      </c>
      <c r="AH25" s="453"/>
      <c r="AI25" s="453"/>
      <c r="AJ25" s="453"/>
      <c r="AK25" s="453"/>
      <c r="AL25" s="453"/>
      <c r="AM25" s="453"/>
      <c r="AN25" s="235">
        <f t="shared" si="2"/>
      </c>
      <c r="AO25" s="235">
        <f t="shared" si="0"/>
      </c>
      <c r="AP25" s="232">
        <f t="shared" si="1"/>
      </c>
      <c r="AR25" s="238"/>
      <c r="AS25" s="234"/>
      <c r="AT25" s="234"/>
      <c r="AU25" s="234"/>
      <c r="AV25" s="234"/>
      <c r="AW25" s="234"/>
      <c r="AX25" s="235"/>
      <c r="AY25" s="234"/>
      <c r="AZ25" s="234"/>
      <c r="BA25" s="234"/>
      <c r="BB25" s="235"/>
      <c r="BC25" s="234"/>
      <c r="BD25" s="234"/>
      <c r="EB25" s="236"/>
      <c r="EC25" s="237"/>
      <c r="ED25" s="237"/>
      <c r="EE25" s="237"/>
      <c r="EF25" s="237"/>
      <c r="EG25" s="237"/>
      <c r="EH25" s="237"/>
      <c r="EI25" s="236"/>
    </row>
    <row r="26" spans="1:139" ht="25.5" customHeight="1" thickBot="1">
      <c r="A26" s="175">
        <v>19</v>
      </c>
      <c r="B26" s="447">
        <f>+IF(DailyOps!E25=0,"",DailyOps!E25)</f>
        <v>0.15</v>
      </c>
      <c r="C26" s="448">
        <v>0.219</v>
      </c>
      <c r="D26" s="448">
        <v>0.233</v>
      </c>
      <c r="E26" s="449">
        <v>0</v>
      </c>
      <c r="F26" s="449">
        <v>16.2</v>
      </c>
      <c r="G26" s="449">
        <v>17.7</v>
      </c>
      <c r="H26" s="449"/>
      <c r="I26" s="449"/>
      <c r="J26" s="449">
        <f t="shared" si="3"/>
      </c>
      <c r="K26" s="450">
        <f t="shared" si="4"/>
      </c>
      <c r="L26" s="449"/>
      <c r="M26" s="449"/>
      <c r="N26" s="449">
        <f t="shared" si="5"/>
      </c>
      <c r="O26" s="450">
        <f t="shared" si="6"/>
      </c>
      <c r="P26" s="449"/>
      <c r="Q26" s="451"/>
      <c r="R26" s="449">
        <v>1.1</v>
      </c>
      <c r="S26" s="449">
        <v>6.4</v>
      </c>
      <c r="T26" s="449">
        <v>7.9</v>
      </c>
      <c r="U26" s="449">
        <v>7.5</v>
      </c>
      <c r="V26" s="449"/>
      <c r="W26" s="449"/>
      <c r="X26" s="449">
        <f t="shared" si="17"/>
      </c>
      <c r="Y26" s="450">
        <f t="shared" si="18"/>
      </c>
      <c r="Z26" s="449"/>
      <c r="AA26" s="452"/>
      <c r="AB26" s="451">
        <v>0</v>
      </c>
      <c r="AC26" s="449">
        <f>+IF(DailyOps!F25=0,"",DailyOps!F25)</f>
        <v>16</v>
      </c>
      <c r="AD26" s="449">
        <f>+IF(DailyOps!G25=0,"",DailyOps!G25)</f>
        <v>7.8</v>
      </c>
      <c r="AE26" s="454"/>
      <c r="AF26" s="386">
        <f t="shared" si="9"/>
        <v>0.219</v>
      </c>
      <c r="AG26" s="386">
        <f t="shared" si="10"/>
        <v>0.233</v>
      </c>
      <c r="AH26" s="453"/>
      <c r="AI26" s="453"/>
      <c r="AJ26" s="453"/>
      <c r="AK26" s="453"/>
      <c r="AL26" s="453"/>
      <c r="AM26" s="453"/>
      <c r="AN26" s="235">
        <f t="shared" si="2"/>
      </c>
      <c r="AO26" s="235">
        <f t="shared" si="0"/>
      </c>
      <c r="AP26" s="232">
        <f t="shared" si="1"/>
      </c>
      <c r="AR26" s="238"/>
      <c r="AS26" s="234"/>
      <c r="AT26" s="234"/>
      <c r="AU26" s="234"/>
      <c r="AV26" s="234"/>
      <c r="AW26" s="234"/>
      <c r="AX26" s="235"/>
      <c r="AY26" s="234"/>
      <c r="AZ26" s="234"/>
      <c r="BA26" s="234"/>
      <c r="BB26" s="235"/>
      <c r="BC26" s="234"/>
      <c r="BD26" s="234"/>
      <c r="EB26" s="236"/>
      <c r="EC26" s="237"/>
      <c r="ED26" s="237"/>
      <c r="EE26" s="237"/>
      <c r="EF26" s="237"/>
      <c r="EG26" s="237"/>
      <c r="EH26" s="237"/>
      <c r="EI26" s="236"/>
    </row>
    <row r="27" spans="1:139" ht="25.5" customHeight="1" thickBot="1">
      <c r="A27" s="175">
        <v>20</v>
      </c>
      <c r="B27" s="447">
        <v>0</v>
      </c>
      <c r="C27" s="448">
        <v>0.205</v>
      </c>
      <c r="D27" s="448">
        <v>0.218</v>
      </c>
      <c r="E27" s="449">
        <v>0</v>
      </c>
      <c r="F27" s="449"/>
      <c r="G27" s="449"/>
      <c r="H27" s="449"/>
      <c r="I27" s="449"/>
      <c r="J27" s="449">
        <f t="shared" si="3"/>
      </c>
      <c r="K27" s="450">
        <f t="shared" si="4"/>
      </c>
      <c r="L27" s="449"/>
      <c r="M27" s="449"/>
      <c r="N27" s="449">
        <f t="shared" si="5"/>
      </c>
      <c r="O27" s="450">
        <f t="shared" si="6"/>
      </c>
      <c r="P27" s="449"/>
      <c r="Q27" s="451"/>
      <c r="R27" s="449"/>
      <c r="S27" s="449"/>
      <c r="T27" s="449"/>
      <c r="U27" s="449"/>
      <c r="V27" s="449"/>
      <c r="W27" s="449"/>
      <c r="X27" s="449">
        <f t="shared" si="17"/>
      </c>
      <c r="Y27" s="450">
        <f t="shared" si="18"/>
      </c>
      <c r="Z27" s="449"/>
      <c r="AA27" s="452"/>
      <c r="AB27" s="451"/>
      <c r="AC27" s="449">
        <f>+IF(DailyOps!F26=0,"",DailyOps!F26)</f>
        <v>17.2</v>
      </c>
      <c r="AD27" s="449">
        <f>+IF(DailyOps!G26=0,"",DailyOps!G26)</f>
        <v>7.8</v>
      </c>
      <c r="AE27" s="454"/>
      <c r="AF27" s="386">
        <f t="shared" si="9"/>
        <v>0.205</v>
      </c>
      <c r="AG27" s="386">
        <f t="shared" si="10"/>
        <v>0.218</v>
      </c>
      <c r="AH27" s="453"/>
      <c r="AI27" s="453"/>
      <c r="AJ27" s="453"/>
      <c r="AK27" s="453"/>
      <c r="AL27" s="453"/>
      <c r="AM27" s="453"/>
      <c r="AN27" s="235">
        <f t="shared" si="2"/>
      </c>
      <c r="AO27" s="235">
        <f t="shared" si="0"/>
      </c>
      <c r="AP27" s="232">
        <f t="shared" si="1"/>
      </c>
      <c r="AR27" s="238"/>
      <c r="AS27" s="234"/>
      <c r="AT27" s="234"/>
      <c r="AU27" s="234"/>
      <c r="AV27" s="234"/>
      <c r="AW27" s="234"/>
      <c r="AX27" s="235"/>
      <c r="AY27" s="234"/>
      <c r="AZ27" s="234"/>
      <c r="BA27" s="234"/>
      <c r="BB27" s="235"/>
      <c r="BC27" s="234"/>
      <c r="BD27" s="234"/>
      <c r="EB27" s="236"/>
      <c r="EC27" s="237"/>
      <c r="ED27" s="237"/>
      <c r="EE27" s="237"/>
      <c r="EF27" s="237"/>
      <c r="EG27" s="237"/>
      <c r="EH27" s="237"/>
      <c r="EI27" s="236"/>
    </row>
    <row r="28" spans="1:139" ht="25.5" customHeight="1" thickBot="1">
      <c r="A28" s="175">
        <v>21</v>
      </c>
      <c r="B28" s="447">
        <f>+IF(DailyOps!E27=0,"",DailyOps!E27)</f>
        <v>0.14</v>
      </c>
      <c r="C28" s="448">
        <v>0.199</v>
      </c>
      <c r="D28" s="448">
        <v>0.211</v>
      </c>
      <c r="E28" s="449">
        <v>0</v>
      </c>
      <c r="F28" s="449"/>
      <c r="G28" s="449"/>
      <c r="H28" s="449">
        <v>275.04</v>
      </c>
      <c r="I28" s="449">
        <v>4.4</v>
      </c>
      <c r="J28" s="449">
        <f t="shared" si="3"/>
        <v>7.742856</v>
      </c>
      <c r="K28" s="450">
        <f t="shared" si="4"/>
        <v>0.9840023269342641</v>
      </c>
      <c r="L28" s="449">
        <v>252</v>
      </c>
      <c r="M28" s="449">
        <v>4.4</v>
      </c>
      <c r="N28" s="449">
        <f t="shared" si="5"/>
        <v>7.742856</v>
      </c>
      <c r="O28" s="450">
        <f t="shared" si="6"/>
        <v>0.9825396825396825</v>
      </c>
      <c r="P28" s="449">
        <v>21</v>
      </c>
      <c r="Q28" s="451">
        <v>0</v>
      </c>
      <c r="R28" s="449"/>
      <c r="S28" s="449"/>
      <c r="T28" s="449"/>
      <c r="U28" s="449"/>
      <c r="V28" s="449">
        <v>33.3</v>
      </c>
      <c r="W28" s="449">
        <v>0.96</v>
      </c>
      <c r="X28" s="449">
        <f t="shared" si="17"/>
        <v>1.6893504</v>
      </c>
      <c r="Y28" s="450">
        <f t="shared" si="18"/>
        <v>0.9711711711711711</v>
      </c>
      <c r="Z28" s="449">
        <v>6.3</v>
      </c>
      <c r="AA28" s="452"/>
      <c r="AB28" s="451"/>
      <c r="AC28" s="449">
        <f>+IF(DailyOps!F27=0,"",DailyOps!F27)</f>
        <v>17</v>
      </c>
      <c r="AD28" s="449">
        <f>+IF(DailyOps!G27=0,"",DailyOps!G27)</f>
        <v>7.8</v>
      </c>
      <c r="AE28" s="454"/>
      <c r="AF28" s="386">
        <f t="shared" si="9"/>
        <v>0.199</v>
      </c>
      <c r="AG28" s="386">
        <f t="shared" si="10"/>
        <v>0.211</v>
      </c>
      <c r="AH28" s="485">
        <f t="shared" si="11"/>
        <v>456.47288640000005</v>
      </c>
      <c r="AI28" s="485">
        <f t="shared" si="12"/>
        <v>7.742856</v>
      </c>
      <c r="AJ28" s="485">
        <f t="shared" si="13"/>
        <v>418.23432</v>
      </c>
      <c r="AK28" s="485">
        <f t="shared" si="14"/>
        <v>7.742856</v>
      </c>
      <c r="AL28" s="485">
        <f t="shared" si="15"/>
        <v>55.266678</v>
      </c>
      <c r="AM28" s="485">
        <f t="shared" si="16"/>
        <v>1.6893504</v>
      </c>
      <c r="AN28" s="232">
        <f t="shared" si="2"/>
        <v>0.9840023269342641</v>
      </c>
      <c r="AO28" s="232">
        <f t="shared" si="0"/>
        <v>0.9825396825396825</v>
      </c>
      <c r="AP28" s="232">
        <f t="shared" si="1"/>
        <v>0.9711711711711711</v>
      </c>
      <c r="AR28" s="238"/>
      <c r="AS28" s="234"/>
      <c r="AT28" s="234"/>
      <c r="AU28" s="234"/>
      <c r="AV28" s="234"/>
      <c r="AW28" s="234"/>
      <c r="AX28" s="235"/>
      <c r="AY28" s="234"/>
      <c r="AZ28" s="234"/>
      <c r="BA28" s="234"/>
      <c r="BB28" s="235"/>
      <c r="BC28" s="234"/>
      <c r="BD28" s="234"/>
      <c r="EB28" s="236"/>
      <c r="EC28" s="237"/>
      <c r="ED28" s="237"/>
      <c r="EE28" s="237"/>
      <c r="EF28" s="237"/>
      <c r="EG28" s="237"/>
      <c r="EH28" s="237"/>
      <c r="EI28" s="236"/>
    </row>
    <row r="29" spans="1:139" ht="25.5" customHeight="1" thickBot="1">
      <c r="A29" s="175">
        <v>22</v>
      </c>
      <c r="B29" s="447">
        <v>0</v>
      </c>
      <c r="C29" s="448">
        <v>0.193</v>
      </c>
      <c r="D29" s="448">
        <v>0.207</v>
      </c>
      <c r="E29" s="449">
        <v>0</v>
      </c>
      <c r="F29" s="449">
        <v>15.2</v>
      </c>
      <c r="G29" s="449">
        <v>16</v>
      </c>
      <c r="H29" s="449">
        <v>332.9</v>
      </c>
      <c r="I29" s="449">
        <v>5</v>
      </c>
      <c r="J29" s="449">
        <f t="shared" si="3"/>
        <v>8.6319</v>
      </c>
      <c r="K29" s="450">
        <f t="shared" si="4"/>
        <v>0.9849804746170021</v>
      </c>
      <c r="L29" s="449">
        <v>428</v>
      </c>
      <c r="M29" s="449">
        <v>3.6</v>
      </c>
      <c r="N29" s="449">
        <f t="shared" si="5"/>
        <v>6.214968</v>
      </c>
      <c r="O29" s="450">
        <f t="shared" si="6"/>
        <v>0.9915887850467289</v>
      </c>
      <c r="P29" s="449">
        <v>24</v>
      </c>
      <c r="Q29" s="451">
        <v>0</v>
      </c>
      <c r="R29" s="449">
        <v>1.4</v>
      </c>
      <c r="S29" s="449">
        <v>6.6</v>
      </c>
      <c r="T29" s="449">
        <v>8.1</v>
      </c>
      <c r="U29" s="449">
        <v>7.55</v>
      </c>
      <c r="V29" s="449">
        <v>36.9</v>
      </c>
      <c r="W29" s="449">
        <v>1</v>
      </c>
      <c r="X29" s="449">
        <f t="shared" si="17"/>
        <v>1.7263799999999998</v>
      </c>
      <c r="Y29" s="450">
        <f t="shared" si="18"/>
        <v>0.9728997289972899</v>
      </c>
      <c r="Z29" s="449">
        <v>1</v>
      </c>
      <c r="AA29" s="452"/>
      <c r="AB29" s="451">
        <v>0.02</v>
      </c>
      <c r="AC29" s="449">
        <f>+IF(DailyOps!F28=0,"",DailyOps!F28)</f>
        <v>12.3</v>
      </c>
      <c r="AD29" s="449">
        <f>+IF(DailyOps!G28=0,"",DailyOps!G28)</f>
        <v>7.8</v>
      </c>
      <c r="AE29" s="454"/>
      <c r="AF29" s="386">
        <f t="shared" si="9"/>
        <v>0.193</v>
      </c>
      <c r="AG29" s="386">
        <f t="shared" si="10"/>
        <v>0.207</v>
      </c>
      <c r="AH29" s="485">
        <f t="shared" si="11"/>
        <v>535.842498</v>
      </c>
      <c r="AI29" s="485">
        <f t="shared" si="12"/>
        <v>8.6319</v>
      </c>
      <c r="AJ29" s="485">
        <f t="shared" si="13"/>
        <v>688.91736</v>
      </c>
      <c r="AK29" s="485">
        <f t="shared" si="14"/>
        <v>6.214968</v>
      </c>
      <c r="AL29" s="485">
        <f t="shared" si="15"/>
        <v>59.394977999999995</v>
      </c>
      <c r="AM29" s="485">
        <f t="shared" si="16"/>
        <v>1.7263799999999998</v>
      </c>
      <c r="AN29" s="232">
        <f t="shared" si="2"/>
        <v>0.9849804746170021</v>
      </c>
      <c r="AO29" s="232">
        <f t="shared" si="0"/>
        <v>0.9915887850467289</v>
      </c>
      <c r="AP29" s="232">
        <f t="shared" si="1"/>
        <v>0.9728997289972899</v>
      </c>
      <c r="AR29" s="238"/>
      <c r="AS29" s="234"/>
      <c r="AT29" s="234"/>
      <c r="AU29" s="234"/>
      <c r="AV29" s="234"/>
      <c r="AW29" s="234"/>
      <c r="AX29" s="235"/>
      <c r="AY29" s="234"/>
      <c r="AZ29" s="234"/>
      <c r="BA29" s="234"/>
      <c r="BB29" s="235"/>
      <c r="BC29" s="234"/>
      <c r="BD29" s="234"/>
      <c r="EB29" s="236"/>
      <c r="EC29" s="237"/>
      <c r="ED29" s="237"/>
      <c r="EE29" s="237"/>
      <c r="EF29" s="237"/>
      <c r="EG29" s="237"/>
      <c r="EH29" s="237"/>
      <c r="EI29" s="236"/>
    </row>
    <row r="30" spans="1:139" ht="25.5" customHeight="1" thickBot="1">
      <c r="A30" s="175">
        <v>23</v>
      </c>
      <c r="B30" s="447">
        <v>0</v>
      </c>
      <c r="C30" s="448">
        <v>0.205</v>
      </c>
      <c r="D30" s="448">
        <v>0.101</v>
      </c>
      <c r="E30" s="449">
        <v>0</v>
      </c>
      <c r="F30" s="449">
        <v>15.1</v>
      </c>
      <c r="G30" s="449">
        <v>15.8</v>
      </c>
      <c r="H30" s="449">
        <v>347.6</v>
      </c>
      <c r="I30" s="449">
        <v>6.5</v>
      </c>
      <c r="J30" s="449">
        <f t="shared" si="3"/>
        <v>5.475210000000001</v>
      </c>
      <c r="K30" s="450">
        <f t="shared" si="4"/>
        <v>0.9813003452243959</v>
      </c>
      <c r="L30" s="449">
        <v>268</v>
      </c>
      <c r="M30" s="449">
        <v>1.6</v>
      </c>
      <c r="N30" s="449">
        <f t="shared" si="5"/>
        <v>1.347744</v>
      </c>
      <c r="O30" s="450">
        <f t="shared" si="6"/>
        <v>0.9940298507462686</v>
      </c>
      <c r="P30" s="449">
        <v>20</v>
      </c>
      <c r="Q30" s="451">
        <v>0</v>
      </c>
      <c r="R30" s="449">
        <v>2.1</v>
      </c>
      <c r="S30" s="449">
        <v>6.6</v>
      </c>
      <c r="T30" s="449">
        <v>7.8</v>
      </c>
      <c r="U30" s="449">
        <v>7.55</v>
      </c>
      <c r="V30" s="449">
        <v>30.6</v>
      </c>
      <c r="W30" s="449">
        <v>1.5</v>
      </c>
      <c r="X30" s="449">
        <f t="shared" si="17"/>
        <v>1.2635100000000001</v>
      </c>
      <c r="Y30" s="450">
        <f t="shared" si="18"/>
        <v>0.9509803921568627</v>
      </c>
      <c r="Z30" s="449">
        <v>1</v>
      </c>
      <c r="AA30" s="452"/>
      <c r="AB30" s="451">
        <v>0</v>
      </c>
      <c r="AC30" s="449">
        <f>+IF(DailyOps!F29=0,"",DailyOps!F29)</f>
        <v>14.5</v>
      </c>
      <c r="AD30" s="449">
        <f>+IF(DailyOps!G29=0,"",DailyOps!G29)</f>
        <v>7.8</v>
      </c>
      <c r="AE30" s="454"/>
      <c r="AF30" s="386">
        <f t="shared" si="9"/>
        <v>0.205</v>
      </c>
      <c r="AG30" s="386">
        <f t="shared" si="10"/>
        <v>0.101</v>
      </c>
      <c r="AH30" s="485">
        <f t="shared" si="11"/>
        <v>594.2917199999999</v>
      </c>
      <c r="AI30" s="485">
        <f t="shared" si="12"/>
        <v>5.475210000000001</v>
      </c>
      <c r="AJ30" s="485">
        <f t="shared" si="13"/>
        <v>458.1996</v>
      </c>
      <c r="AK30" s="485">
        <f t="shared" si="14"/>
        <v>1.347744</v>
      </c>
      <c r="AL30" s="485">
        <f t="shared" si="15"/>
        <v>52.31682</v>
      </c>
      <c r="AM30" s="485">
        <f t="shared" si="16"/>
        <v>1.2635100000000001</v>
      </c>
      <c r="AN30" s="232">
        <f t="shared" si="2"/>
        <v>0.9813003452243959</v>
      </c>
      <c r="AO30" s="232">
        <f t="shared" si="0"/>
        <v>0.9940298507462686</v>
      </c>
      <c r="AP30" s="232">
        <f t="shared" si="1"/>
        <v>0.9509803921568627</v>
      </c>
      <c r="AR30" s="238"/>
      <c r="AS30" s="234"/>
      <c r="AT30" s="234"/>
      <c r="AU30" s="234"/>
      <c r="AV30" s="234"/>
      <c r="AW30" s="234"/>
      <c r="AX30" s="235"/>
      <c r="AY30" s="234"/>
      <c r="AZ30" s="234"/>
      <c r="BA30" s="234"/>
      <c r="BB30" s="235"/>
      <c r="BC30" s="234"/>
      <c r="BD30" s="234"/>
      <c r="EB30" s="236"/>
      <c r="EC30" s="237"/>
      <c r="ED30" s="237"/>
      <c r="EE30" s="237"/>
      <c r="EF30" s="237"/>
      <c r="EG30" s="237"/>
      <c r="EH30" s="237"/>
      <c r="EI30" s="236"/>
    </row>
    <row r="31" spans="1:139" ht="25.5" customHeight="1" thickBot="1">
      <c r="A31" s="175">
        <v>24</v>
      </c>
      <c r="B31" s="447">
        <v>0</v>
      </c>
      <c r="C31" s="448">
        <v>0.207</v>
      </c>
      <c r="D31" s="448">
        <v>0.199</v>
      </c>
      <c r="E31" s="449">
        <v>0</v>
      </c>
      <c r="F31" s="449">
        <v>17.6</v>
      </c>
      <c r="G31" s="449">
        <v>17.9</v>
      </c>
      <c r="H31" s="449"/>
      <c r="I31" s="449"/>
      <c r="J31" s="449">
        <f t="shared" si="3"/>
      </c>
      <c r="K31" s="450">
        <f t="shared" si="4"/>
      </c>
      <c r="L31" s="449"/>
      <c r="M31" s="449"/>
      <c r="N31" s="449">
        <f t="shared" si="5"/>
      </c>
      <c r="O31" s="450">
        <f t="shared" si="6"/>
      </c>
      <c r="P31" s="449">
        <v>26</v>
      </c>
      <c r="Q31" s="451">
        <v>0</v>
      </c>
      <c r="R31" s="449">
        <v>1.5</v>
      </c>
      <c r="S31" s="449">
        <v>6.2</v>
      </c>
      <c r="T31" s="449">
        <v>7.6</v>
      </c>
      <c r="U31" s="449">
        <v>7.5</v>
      </c>
      <c r="V31" s="449"/>
      <c r="W31" s="449"/>
      <c r="X31" s="449">
        <f t="shared" si="17"/>
      </c>
      <c r="Y31" s="450">
        <f t="shared" si="18"/>
      </c>
      <c r="Z31" s="449"/>
      <c r="AA31" s="452"/>
      <c r="AB31" s="451">
        <v>0.02</v>
      </c>
      <c r="AC31" s="449">
        <f>+IF(DailyOps!F30=0,"",DailyOps!F30)</f>
        <v>13.3</v>
      </c>
      <c r="AD31" s="449">
        <f>+IF(DailyOps!G30=0,"",DailyOps!G30)</f>
        <v>7.8</v>
      </c>
      <c r="AE31" s="454"/>
      <c r="AF31" s="386">
        <f t="shared" si="9"/>
        <v>0.207</v>
      </c>
      <c r="AG31" s="386">
        <f t="shared" si="10"/>
        <v>0.199</v>
      </c>
      <c r="AH31" s="453"/>
      <c r="AI31" s="453"/>
      <c r="AJ31" s="453"/>
      <c r="AK31" s="453"/>
      <c r="AL31" s="453"/>
      <c r="AM31" s="453"/>
      <c r="AN31" s="235">
        <f t="shared" si="2"/>
      </c>
      <c r="AO31" s="235">
        <f t="shared" si="0"/>
      </c>
      <c r="AP31" s="232">
        <f t="shared" si="1"/>
      </c>
      <c r="AR31" s="238"/>
      <c r="AS31" s="234"/>
      <c r="AT31" s="234"/>
      <c r="AU31" s="234"/>
      <c r="AV31" s="234"/>
      <c r="AW31" s="234"/>
      <c r="AX31" s="235"/>
      <c r="AY31" s="234"/>
      <c r="AZ31" s="234"/>
      <c r="BA31" s="234"/>
      <c r="BB31" s="235"/>
      <c r="BC31" s="234"/>
      <c r="BD31" s="234"/>
      <c r="EB31" s="236"/>
      <c r="EC31" s="237"/>
      <c r="ED31" s="237"/>
      <c r="EE31" s="237"/>
      <c r="EF31" s="237"/>
      <c r="EG31" s="237"/>
      <c r="EH31" s="237"/>
      <c r="EI31" s="236"/>
    </row>
    <row r="32" spans="1:139" ht="25.5" customHeight="1" thickBot="1">
      <c r="A32" s="175">
        <v>25</v>
      </c>
      <c r="B32" s="447">
        <v>0</v>
      </c>
      <c r="C32" s="448">
        <v>0.201</v>
      </c>
      <c r="D32" s="448">
        <v>0.202</v>
      </c>
      <c r="E32" s="449">
        <v>0</v>
      </c>
      <c r="F32" s="449">
        <v>15.5</v>
      </c>
      <c r="G32" s="449">
        <v>16.7</v>
      </c>
      <c r="H32" s="449"/>
      <c r="I32" s="449"/>
      <c r="J32" s="449">
        <f t="shared" si="3"/>
      </c>
      <c r="K32" s="450">
        <f t="shared" si="4"/>
      </c>
      <c r="L32" s="449"/>
      <c r="M32" s="449"/>
      <c r="N32" s="449">
        <f t="shared" si="5"/>
      </c>
      <c r="O32" s="450">
        <f t="shared" si="6"/>
      </c>
      <c r="P32" s="449">
        <v>28</v>
      </c>
      <c r="Q32" s="451">
        <v>0</v>
      </c>
      <c r="R32" s="449">
        <v>2.1</v>
      </c>
      <c r="S32" s="449">
        <v>6.8</v>
      </c>
      <c r="T32" s="449">
        <v>7.8</v>
      </c>
      <c r="U32" s="449">
        <v>7.6</v>
      </c>
      <c r="V32" s="449"/>
      <c r="W32" s="449"/>
      <c r="X32" s="449">
        <f t="shared" si="17"/>
      </c>
      <c r="Y32" s="450">
        <f t="shared" si="18"/>
      </c>
      <c r="Z32" s="449"/>
      <c r="AA32" s="452"/>
      <c r="AB32" s="451">
        <v>0.01</v>
      </c>
      <c r="AC32" s="449">
        <f>+IF(DailyOps!F31=0,"",DailyOps!F31)</f>
        <v>12.1</v>
      </c>
      <c r="AD32" s="449">
        <f>+IF(DailyOps!G31=0,"",DailyOps!G31)</f>
        <v>7.8</v>
      </c>
      <c r="AE32" s="454"/>
      <c r="AF32" s="386">
        <f t="shared" si="9"/>
        <v>0.201</v>
      </c>
      <c r="AG32" s="386">
        <f t="shared" si="10"/>
        <v>0.202</v>
      </c>
      <c r="AH32" s="453"/>
      <c r="AI32" s="453"/>
      <c r="AJ32" s="453"/>
      <c r="AK32" s="453"/>
      <c r="AL32" s="453"/>
      <c r="AM32" s="453"/>
      <c r="AN32" s="235">
        <f t="shared" si="2"/>
      </c>
      <c r="AO32" s="235">
        <f t="shared" si="0"/>
      </c>
      <c r="AP32" s="232">
        <f t="shared" si="1"/>
      </c>
      <c r="AR32" s="136"/>
      <c r="AS32" s="137"/>
      <c r="AT32" s="137"/>
      <c r="AU32" s="139"/>
      <c r="AV32" s="139"/>
      <c r="AW32" s="139"/>
      <c r="AX32" s="139"/>
      <c r="AY32" s="234"/>
      <c r="AZ32" s="139"/>
      <c r="BA32" s="142"/>
      <c r="BB32" s="142"/>
      <c r="BC32" s="142"/>
      <c r="BD32" s="142"/>
      <c r="EB32" s="236"/>
      <c r="EC32" s="237"/>
      <c r="ED32" s="236"/>
      <c r="EE32" s="236"/>
      <c r="EF32" s="236"/>
      <c r="EG32" s="237"/>
      <c r="EH32" s="240"/>
      <c r="EI32" s="236"/>
    </row>
    <row r="33" spans="1:139" ht="25.5" customHeight="1" thickBot="1" thickTop="1">
      <c r="A33" s="175">
        <v>26</v>
      </c>
      <c r="B33" s="447">
        <f>+IF(DailyOps!E32=0,"",DailyOps!E32)</f>
        <v>0.02</v>
      </c>
      <c r="C33" s="448">
        <v>0.219</v>
      </c>
      <c r="D33" s="448">
        <v>0.206</v>
      </c>
      <c r="E33" s="449">
        <v>0</v>
      </c>
      <c r="F33" s="449">
        <v>16.1</v>
      </c>
      <c r="G33" s="449">
        <v>17.2</v>
      </c>
      <c r="H33" s="449"/>
      <c r="I33" s="449"/>
      <c r="J33" s="449">
        <f t="shared" si="3"/>
      </c>
      <c r="K33" s="450">
        <f t="shared" si="4"/>
      </c>
      <c r="L33" s="449"/>
      <c r="M33" s="449"/>
      <c r="N33" s="449">
        <f t="shared" si="5"/>
      </c>
      <c r="O33" s="450">
        <f t="shared" si="6"/>
      </c>
      <c r="P33" s="449"/>
      <c r="Q33" s="451"/>
      <c r="R33" s="449">
        <v>1.3</v>
      </c>
      <c r="S33" s="449">
        <v>6.6</v>
      </c>
      <c r="T33" s="449">
        <v>7.9</v>
      </c>
      <c r="U33" s="449">
        <v>7.5</v>
      </c>
      <c r="V33" s="449"/>
      <c r="W33" s="449"/>
      <c r="X33" s="449">
        <f t="shared" si="17"/>
      </c>
      <c r="Y33" s="450">
        <f t="shared" si="18"/>
      </c>
      <c r="Z33" s="449"/>
      <c r="AA33" s="452"/>
      <c r="AB33" s="451">
        <v>0.02</v>
      </c>
      <c r="AC33" s="449">
        <f>+IF(DailyOps!F32=0,"",DailyOps!F32)</f>
        <v>13.7</v>
      </c>
      <c r="AD33" s="449">
        <f>+IF(DailyOps!G32=0,"",DailyOps!G32)</f>
        <v>7.8</v>
      </c>
      <c r="AE33" s="454"/>
      <c r="AF33" s="386">
        <f t="shared" si="9"/>
        <v>0.219</v>
      </c>
      <c r="AG33" s="386">
        <f t="shared" si="10"/>
        <v>0.206</v>
      </c>
      <c r="AH33" s="453"/>
      <c r="AI33" s="453"/>
      <c r="AJ33" s="453"/>
      <c r="AK33" s="453"/>
      <c r="AL33" s="453"/>
      <c r="AM33" s="453"/>
      <c r="AN33" s="235">
        <f t="shared" si="2"/>
      </c>
      <c r="AO33" s="235">
        <f t="shared" si="0"/>
      </c>
      <c r="AP33" s="232">
        <f t="shared" si="1"/>
      </c>
      <c r="AR33" s="134"/>
      <c r="AS33" s="135"/>
      <c r="AT33" s="135"/>
      <c r="AU33" s="140"/>
      <c r="AV33" s="140"/>
      <c r="AW33" s="141"/>
      <c r="AX33" s="138"/>
      <c r="AY33" s="140"/>
      <c r="AZ33" s="140"/>
      <c r="BA33" s="141"/>
      <c r="BB33" s="138"/>
      <c r="BC33" s="141"/>
      <c r="BD33" s="141"/>
      <c r="EB33" s="236"/>
      <c r="EC33" s="237"/>
      <c r="ED33" s="237"/>
      <c r="EE33" s="237"/>
      <c r="EF33" s="237"/>
      <c r="EG33" s="237"/>
      <c r="EH33" s="237"/>
      <c r="EI33" s="236"/>
    </row>
    <row r="34" spans="1:139" ht="25.5" customHeight="1" thickBot="1" thickTop="1">
      <c r="A34" s="175">
        <v>27</v>
      </c>
      <c r="B34" s="447">
        <f>+IF(DailyOps!E33=0,"",DailyOps!E33)</f>
        <v>0.3</v>
      </c>
      <c r="C34" s="448">
        <v>0.19</v>
      </c>
      <c r="D34" s="448">
        <v>0.188</v>
      </c>
      <c r="E34" s="449">
        <v>0</v>
      </c>
      <c r="F34" s="449"/>
      <c r="G34" s="449"/>
      <c r="H34" s="449"/>
      <c r="I34" s="449"/>
      <c r="J34" s="449">
        <f t="shared" si="3"/>
      </c>
      <c r="K34" s="450">
        <f t="shared" si="4"/>
      </c>
      <c r="L34" s="449"/>
      <c r="M34" s="449"/>
      <c r="N34" s="449">
        <f t="shared" si="5"/>
      </c>
      <c r="O34" s="450">
        <f t="shared" si="6"/>
      </c>
      <c r="P34" s="449"/>
      <c r="Q34" s="451"/>
      <c r="R34" s="449"/>
      <c r="S34" s="449"/>
      <c r="T34" s="449"/>
      <c r="U34" s="449"/>
      <c r="V34" s="449"/>
      <c r="W34" s="449"/>
      <c r="X34" s="449">
        <f t="shared" si="17"/>
      </c>
      <c r="Y34" s="450">
        <f t="shared" si="18"/>
      </c>
      <c r="Z34" s="449"/>
      <c r="AA34" s="452"/>
      <c r="AB34" s="451"/>
      <c r="AC34" s="449">
        <f>+IF(DailyOps!F33=0,"",DailyOps!F33)</f>
        <v>13.3</v>
      </c>
      <c r="AD34" s="449">
        <f>+IF(DailyOps!G33=0,"",DailyOps!G33)</f>
        <v>7.8</v>
      </c>
      <c r="AE34" s="454"/>
      <c r="AF34" s="386">
        <f t="shared" si="9"/>
        <v>0.19</v>
      </c>
      <c r="AG34" s="386">
        <f t="shared" si="10"/>
        <v>0.188</v>
      </c>
      <c r="AH34" s="453"/>
      <c r="AI34" s="453"/>
      <c r="AJ34" s="453"/>
      <c r="AK34" s="453"/>
      <c r="AL34" s="453"/>
      <c r="AM34" s="453"/>
      <c r="AN34" s="235">
        <f t="shared" si="2"/>
      </c>
      <c r="AO34" s="235">
        <f t="shared" si="0"/>
      </c>
      <c r="AP34" s="232">
        <f t="shared" si="1"/>
      </c>
      <c r="AR34" s="134"/>
      <c r="AS34" s="9"/>
      <c r="AT34" s="9"/>
      <c r="AU34" s="140"/>
      <c r="AV34" s="140"/>
      <c r="AW34" s="141"/>
      <c r="AX34" s="138"/>
      <c r="AY34" s="140"/>
      <c r="AZ34" s="140"/>
      <c r="BA34" s="141"/>
      <c r="BB34" s="138"/>
      <c r="BC34" s="141"/>
      <c r="BD34" s="141"/>
      <c r="EB34" s="236"/>
      <c r="EC34" s="237"/>
      <c r="ED34" s="237"/>
      <c r="EE34" s="237"/>
      <c r="EF34" s="237"/>
      <c r="EG34" s="237"/>
      <c r="EH34" s="240"/>
      <c r="EI34" s="236"/>
    </row>
    <row r="35" spans="1:139" ht="25.5" customHeight="1" thickBot="1" thickTop="1">
      <c r="A35" s="175">
        <v>28</v>
      </c>
      <c r="B35" s="447">
        <f>+IF(DailyOps!E34=0,"",DailyOps!E34)</f>
        <v>0.01</v>
      </c>
      <c r="C35" s="448">
        <v>0.195</v>
      </c>
      <c r="D35" s="448">
        <v>0.199</v>
      </c>
      <c r="E35" s="449">
        <v>0</v>
      </c>
      <c r="F35" s="449"/>
      <c r="G35" s="449"/>
      <c r="H35" s="449">
        <v>356.5</v>
      </c>
      <c r="I35" s="449">
        <v>3.6</v>
      </c>
      <c r="J35" s="449">
        <f t="shared" si="3"/>
        <v>5.974776</v>
      </c>
      <c r="K35" s="450">
        <f t="shared" si="4"/>
        <v>0.9899018232819073</v>
      </c>
      <c r="L35" s="449">
        <v>256</v>
      </c>
      <c r="M35" s="449">
        <v>5.6</v>
      </c>
      <c r="N35" s="449">
        <f t="shared" si="5"/>
        <v>9.294096</v>
      </c>
      <c r="O35" s="450">
        <f t="shared" si="6"/>
        <v>0.978125</v>
      </c>
      <c r="P35" s="449">
        <v>24</v>
      </c>
      <c r="Q35" s="451">
        <v>0</v>
      </c>
      <c r="R35" s="449"/>
      <c r="S35" s="449"/>
      <c r="T35" s="449"/>
      <c r="U35" s="449"/>
      <c r="V35" s="449">
        <v>46.2</v>
      </c>
      <c r="W35" s="449">
        <v>1</v>
      </c>
      <c r="X35" s="449">
        <f t="shared" si="17"/>
        <v>1.6596600000000001</v>
      </c>
      <c r="Y35" s="450">
        <f t="shared" si="18"/>
        <v>0.9783549783549783</v>
      </c>
      <c r="Z35" s="449">
        <v>1</v>
      </c>
      <c r="AA35" s="452"/>
      <c r="AB35" s="451"/>
      <c r="AC35" s="449">
        <f>+IF(DailyOps!F34=0,"",DailyOps!F34)</f>
        <v>12.5</v>
      </c>
      <c r="AD35" s="449">
        <f>+IF(DailyOps!G34=0,"",DailyOps!G34)</f>
        <v>7.8</v>
      </c>
      <c r="AE35" s="454"/>
      <c r="AF35" s="386">
        <f t="shared" si="9"/>
        <v>0.195</v>
      </c>
      <c r="AG35" s="386">
        <f t="shared" si="10"/>
        <v>0.199</v>
      </c>
      <c r="AH35" s="485">
        <f t="shared" si="11"/>
        <v>579.77595</v>
      </c>
      <c r="AI35" s="485">
        <f t="shared" si="12"/>
        <v>5.974776</v>
      </c>
      <c r="AJ35" s="485">
        <f t="shared" si="13"/>
        <v>416.3328</v>
      </c>
      <c r="AK35" s="485">
        <f t="shared" si="14"/>
        <v>9.294096</v>
      </c>
      <c r="AL35" s="485">
        <f t="shared" si="15"/>
        <v>75.13506</v>
      </c>
      <c r="AM35" s="485">
        <f t="shared" si="16"/>
        <v>1.6596600000000001</v>
      </c>
      <c r="AN35" s="232">
        <f t="shared" si="2"/>
        <v>0.9899018232819073</v>
      </c>
      <c r="AO35" s="232">
        <f t="shared" si="0"/>
        <v>0.978125</v>
      </c>
      <c r="AP35" s="232">
        <f t="shared" si="1"/>
        <v>0.9783549783549783</v>
      </c>
      <c r="AR35" s="134"/>
      <c r="AS35" s="9"/>
      <c r="AT35" s="9"/>
      <c r="AU35" s="140"/>
      <c r="AV35" s="140"/>
      <c r="AW35" s="141"/>
      <c r="AX35" s="138"/>
      <c r="AY35" s="140"/>
      <c r="AZ35" s="140"/>
      <c r="BA35" s="141"/>
      <c r="BB35" s="138"/>
      <c r="BC35" s="141"/>
      <c r="BD35" s="141"/>
      <c r="EB35" s="236"/>
      <c r="EC35" s="237"/>
      <c r="ED35" s="240"/>
      <c r="EE35" s="240"/>
      <c r="EF35" s="240"/>
      <c r="EG35" s="237"/>
      <c r="EH35" s="240"/>
      <c r="EI35" s="236"/>
    </row>
    <row r="36" spans="1:139" ht="25.5" customHeight="1" thickBot="1">
      <c r="A36" s="175">
        <v>29</v>
      </c>
      <c r="B36" s="447">
        <v>0</v>
      </c>
      <c r="C36" s="448">
        <v>0.191</v>
      </c>
      <c r="D36" s="448">
        <v>0.2</v>
      </c>
      <c r="E36" s="449">
        <v>0</v>
      </c>
      <c r="F36" s="449">
        <v>16.4</v>
      </c>
      <c r="G36" s="449">
        <v>18.1</v>
      </c>
      <c r="H36" s="449">
        <v>277.3</v>
      </c>
      <c r="I36" s="449">
        <v>2.9</v>
      </c>
      <c r="J36" s="449">
        <f t="shared" si="3"/>
        <v>4.837199999999999</v>
      </c>
      <c r="K36" s="450">
        <f t="shared" si="4"/>
        <v>0.9895420122610892</v>
      </c>
      <c r="L36" s="449">
        <v>304</v>
      </c>
      <c r="M36" s="449">
        <v>7.2</v>
      </c>
      <c r="N36" s="449">
        <f t="shared" si="5"/>
        <v>12.0096</v>
      </c>
      <c r="O36" s="450">
        <f t="shared" si="6"/>
        <v>0.9763157894736842</v>
      </c>
      <c r="P36" s="449">
        <v>25</v>
      </c>
      <c r="Q36" s="451">
        <v>0</v>
      </c>
      <c r="R36" s="449">
        <v>1.8</v>
      </c>
      <c r="S36" s="449">
        <v>6.6</v>
      </c>
      <c r="T36" s="449">
        <v>7.7</v>
      </c>
      <c r="U36" s="449">
        <v>7.6</v>
      </c>
      <c r="V36" s="449">
        <v>43.5</v>
      </c>
      <c r="W36" s="449">
        <v>1.3</v>
      </c>
      <c r="X36" s="449">
        <f t="shared" si="17"/>
        <v>2.1684</v>
      </c>
      <c r="Y36" s="450">
        <f t="shared" si="18"/>
        <v>0.9701149425287356</v>
      </c>
      <c r="Z36" s="449">
        <v>1</v>
      </c>
      <c r="AA36" s="452"/>
      <c r="AB36" s="451">
        <v>0</v>
      </c>
      <c r="AC36" s="449">
        <f>+IF(DailyOps!F35=0,"",DailyOps!F35)</f>
        <v>16.4</v>
      </c>
      <c r="AD36" s="449">
        <f>+IF(DailyOps!G35=0,"",DailyOps!G35)</f>
        <v>7.8</v>
      </c>
      <c r="AE36" s="454"/>
      <c r="AF36" s="386">
        <f t="shared" si="9"/>
        <v>0.191</v>
      </c>
      <c r="AG36" s="386">
        <f t="shared" si="10"/>
        <v>0.2</v>
      </c>
      <c r="AH36" s="485">
        <f t="shared" si="11"/>
        <v>441.722262</v>
      </c>
      <c r="AI36" s="485">
        <f t="shared" si="12"/>
        <v>4.837199999999999</v>
      </c>
      <c r="AJ36" s="485">
        <f t="shared" si="13"/>
        <v>484.25376</v>
      </c>
      <c r="AK36" s="485">
        <f t="shared" si="14"/>
        <v>12.0096</v>
      </c>
      <c r="AL36" s="485">
        <f t="shared" si="15"/>
        <v>69.29289</v>
      </c>
      <c r="AM36" s="485">
        <f t="shared" si="16"/>
        <v>2.1684</v>
      </c>
      <c r="AN36" s="232">
        <f>+IF(ISERR((H36-I36)/H36),"",((H36-I36)/H36))</f>
        <v>0.9895420122610892</v>
      </c>
      <c r="AO36" s="232">
        <f>+IF(ISERR((L36-M36)/L36),"",((L36-M36)/L36))</f>
        <v>0.9763157894736842</v>
      </c>
      <c r="AP36" s="232">
        <f t="shared" si="1"/>
        <v>0.9701149425287356</v>
      </c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EB36" s="236"/>
      <c r="EC36" s="237"/>
      <c r="ED36" s="240"/>
      <c r="EE36" s="239"/>
      <c r="EF36" s="240"/>
      <c r="EG36" s="237"/>
      <c r="EH36" s="240"/>
      <c r="EI36" s="236"/>
    </row>
    <row r="37" spans="1:139" ht="25.5" customHeight="1" thickBot="1">
      <c r="A37" s="175">
        <v>30</v>
      </c>
      <c r="B37" s="447">
        <f>+IF(DailyOps!E36=0,"",DailyOps!E36)</f>
        <v>0.16</v>
      </c>
      <c r="C37" s="448">
        <v>0.215</v>
      </c>
      <c r="D37" s="448">
        <v>0.209</v>
      </c>
      <c r="E37" s="449">
        <v>0</v>
      </c>
      <c r="F37" s="449">
        <v>18.7</v>
      </c>
      <c r="G37" s="449">
        <v>18.6</v>
      </c>
      <c r="H37" s="449">
        <v>321.1</v>
      </c>
      <c r="I37" s="449">
        <v>1.5</v>
      </c>
      <c r="J37" s="449">
        <f t="shared" si="3"/>
        <v>2.6145899999999997</v>
      </c>
      <c r="K37" s="450">
        <f t="shared" si="4"/>
        <v>0.9953285580815945</v>
      </c>
      <c r="L37" s="449">
        <v>304</v>
      </c>
      <c r="M37" s="449">
        <v>3.2</v>
      </c>
      <c r="N37" s="449">
        <f t="shared" si="5"/>
        <v>5.5777920000000005</v>
      </c>
      <c r="O37" s="450">
        <f t="shared" si="6"/>
        <v>0.9894736842105264</v>
      </c>
      <c r="P37" s="449">
        <v>20</v>
      </c>
      <c r="Q37" s="451">
        <v>0</v>
      </c>
      <c r="R37" s="449">
        <v>0.1</v>
      </c>
      <c r="S37" s="449">
        <v>6.4</v>
      </c>
      <c r="T37" s="449">
        <v>7.7</v>
      </c>
      <c r="U37" s="449">
        <v>7.7</v>
      </c>
      <c r="V37" s="449">
        <v>33.1</v>
      </c>
      <c r="W37" s="449">
        <v>0.724</v>
      </c>
      <c r="X37" s="449">
        <f t="shared" si="17"/>
        <v>1.2619754399999998</v>
      </c>
      <c r="Y37" s="450">
        <f t="shared" si="18"/>
        <v>0.9781268882175228</v>
      </c>
      <c r="Z37" s="449">
        <v>1</v>
      </c>
      <c r="AA37" s="452"/>
      <c r="AB37" s="451">
        <v>0.01</v>
      </c>
      <c r="AC37" s="449">
        <f>+IF(DailyOps!F36=0,"",DailyOps!F36)</f>
        <v>9.4</v>
      </c>
      <c r="AD37" s="449">
        <f>+IF(DailyOps!G36=0,"",DailyOps!G36)</f>
        <v>7.8</v>
      </c>
      <c r="AE37" s="454"/>
      <c r="AF37" s="386">
        <f t="shared" si="9"/>
        <v>0.215</v>
      </c>
      <c r="AG37" s="386">
        <f t="shared" si="10"/>
        <v>0.209</v>
      </c>
      <c r="AH37" s="485">
        <f t="shared" si="11"/>
        <v>575.76441</v>
      </c>
      <c r="AI37" s="485">
        <f t="shared" si="12"/>
        <v>2.6145899999999997</v>
      </c>
      <c r="AJ37" s="485">
        <f t="shared" si="13"/>
        <v>545.1024</v>
      </c>
      <c r="AK37" s="485">
        <f t="shared" si="14"/>
        <v>5.5777920000000005</v>
      </c>
      <c r="AL37" s="485">
        <f t="shared" si="15"/>
        <v>59.35161</v>
      </c>
      <c r="AM37" s="485">
        <f t="shared" si="16"/>
        <v>1.2619754399999998</v>
      </c>
      <c r="AN37" s="232">
        <f>+IF(ISERR((H37-I37)/H37),"",((H37-I37)/H37))</f>
        <v>0.9953285580815945</v>
      </c>
      <c r="AO37" s="232">
        <f>+IF(ISERR((L37-M37)/L37),"",((L37-M37)/L37))</f>
        <v>0.9894736842105264</v>
      </c>
      <c r="AP37" s="232">
        <f t="shared" si="1"/>
        <v>0.9781268882175228</v>
      </c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EB37" s="236"/>
      <c r="EC37" s="237"/>
      <c r="ED37" s="240"/>
      <c r="EE37" s="241"/>
      <c r="EF37" s="240"/>
      <c r="EG37" s="237"/>
      <c r="EH37" s="240"/>
      <c r="EI37" s="236"/>
    </row>
    <row r="38" spans="1:139" ht="25.5" customHeight="1" thickBot="1">
      <c r="A38" s="176"/>
      <c r="B38" s="447">
        <f>+IF(DailyOps!E37=0,"",DailyOps!E37)</f>
      </c>
      <c r="C38" s="448" t="str">
        <f>+IF((DailyOps!B38-DailyOps!B37)/1000&lt;0.1," ",(DailyOps!B38-DailyOps!B37)/1000)</f>
        <v> </v>
      </c>
      <c r="D38" s="448" t="str">
        <f>+IF((DailyOps!D38-DailyOps!D37)/10000&lt;0.1," ",(DailyOps!D38-DailyOps!D37)/10000)</f>
        <v> </v>
      </c>
      <c r="E38" s="449"/>
      <c r="F38" s="449"/>
      <c r="G38" s="449"/>
      <c r="H38" s="449"/>
      <c r="I38" s="449"/>
      <c r="J38" s="449">
        <f t="shared" si="3"/>
      </c>
      <c r="K38" s="450">
        <f t="shared" si="4"/>
      </c>
      <c r="L38" s="449"/>
      <c r="M38" s="449"/>
      <c r="N38" s="449">
        <f t="shared" si="5"/>
      </c>
      <c r="O38" s="450">
        <f t="shared" si="6"/>
      </c>
      <c r="P38" s="449"/>
      <c r="Q38" s="451"/>
      <c r="R38" s="449"/>
      <c r="S38" s="449"/>
      <c r="T38" s="449"/>
      <c r="U38" s="449"/>
      <c r="V38" s="449"/>
      <c r="W38" s="449"/>
      <c r="X38" s="449">
        <f t="shared" si="17"/>
      </c>
      <c r="Y38" s="450">
        <f t="shared" si="18"/>
      </c>
      <c r="Z38" s="449"/>
      <c r="AA38" s="452"/>
      <c r="AB38" s="451"/>
      <c r="AC38" s="449">
        <f>+IF(DailyOps!F37=0,"",DailyOps!F37)</f>
      </c>
      <c r="AD38" s="449">
        <f>+IF(DailyOps!G37=0,"",DailyOps!G37)</f>
      </c>
      <c r="AE38" s="454"/>
      <c r="AF38" s="386">
        <f t="shared" si="9"/>
      </c>
      <c r="AG38" s="386">
        <f t="shared" si="10"/>
      </c>
      <c r="AH38" s="453">
        <f t="shared" si="11"/>
      </c>
      <c r="AI38" s="453">
        <f t="shared" si="12"/>
      </c>
      <c r="AJ38" s="453">
        <f t="shared" si="13"/>
      </c>
      <c r="AK38" s="453">
        <f t="shared" si="14"/>
      </c>
      <c r="AL38" s="453">
        <f t="shared" si="15"/>
      </c>
      <c r="AM38" s="453">
        <f t="shared" si="16"/>
      </c>
      <c r="AN38" s="235">
        <f>+IF(ISERR((H38-I38)/H38),"",((H38-I38)/H38))</f>
      </c>
      <c r="AO38" s="235">
        <f>+IF(ISERR((L38-M38)/L38),"",((L38-M38)/L38))</f>
      </c>
      <c r="AP38" s="232">
        <f t="shared" si="1"/>
      </c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EB38" s="236"/>
      <c r="EC38" s="237"/>
      <c r="ED38" s="240"/>
      <c r="EE38" s="240"/>
      <c r="EF38" s="240"/>
      <c r="EG38" s="237"/>
      <c r="EH38" s="240"/>
      <c r="EI38" s="236"/>
    </row>
    <row r="39" spans="1:139" ht="25.5" customHeight="1" thickBot="1" thickTop="1">
      <c r="A39" s="148" t="s">
        <v>18</v>
      </c>
      <c r="B39" s="428">
        <f aca="true" t="shared" si="19" ref="B39:AD39">SUM(B8:B38)</f>
        <v>3.07</v>
      </c>
      <c r="C39" s="456">
        <f t="shared" si="19"/>
        <v>6.793</v>
      </c>
      <c r="D39" s="456">
        <f t="shared" si="19"/>
        <v>6.826999999999999</v>
      </c>
      <c r="E39" s="445">
        <f>SUM(E8:E38)</f>
        <v>0</v>
      </c>
      <c r="F39" s="455">
        <f t="shared" si="19"/>
        <v>342.40000000000003</v>
      </c>
      <c r="G39" s="455">
        <f t="shared" si="19"/>
        <v>366.40000000000003</v>
      </c>
      <c r="H39" s="445">
        <f>SUM(H8:H38)</f>
        <v>4176.360000000001</v>
      </c>
      <c r="I39" s="445">
        <f t="shared" si="19"/>
        <v>72.75</v>
      </c>
      <c r="J39" s="445">
        <f>SUM(J8:J38)</f>
        <v>130.37870600000002</v>
      </c>
      <c r="K39" s="457">
        <v>14.717</v>
      </c>
      <c r="L39" s="455">
        <f t="shared" si="19"/>
        <v>4568</v>
      </c>
      <c r="M39" s="455">
        <f t="shared" si="19"/>
        <v>70.80000000000001</v>
      </c>
      <c r="N39" s="445">
        <f>SUM(N8:N38)</f>
        <v>129.331656</v>
      </c>
      <c r="O39" s="457">
        <v>14.71</v>
      </c>
      <c r="P39" s="445">
        <f t="shared" si="19"/>
        <v>526</v>
      </c>
      <c r="Q39" s="428">
        <f t="shared" si="19"/>
        <v>0</v>
      </c>
      <c r="R39" s="455">
        <f t="shared" si="19"/>
        <v>50.199999999999996</v>
      </c>
      <c r="S39" s="455">
        <f t="shared" si="19"/>
        <v>143.74999999999997</v>
      </c>
      <c r="T39" s="455">
        <f t="shared" si="19"/>
        <v>172.1</v>
      </c>
      <c r="U39" s="455">
        <f t="shared" si="19"/>
        <v>165.94999999999996</v>
      </c>
      <c r="V39" s="455">
        <f t="shared" si="19"/>
        <v>496.70000000000005</v>
      </c>
      <c r="W39" s="455">
        <f t="shared" si="19"/>
        <v>15.984000000000002</v>
      </c>
      <c r="X39" s="445">
        <f t="shared" si="19"/>
        <v>29.404455839999997</v>
      </c>
      <c r="Y39" s="493">
        <v>14.551</v>
      </c>
      <c r="Z39" s="455">
        <f t="shared" si="19"/>
        <v>25.4</v>
      </c>
      <c r="AA39" s="458"/>
      <c r="AB39" s="428">
        <f t="shared" si="19"/>
        <v>0.26</v>
      </c>
      <c r="AC39" s="455">
        <v>520.8</v>
      </c>
      <c r="AD39" s="455">
        <f t="shared" si="19"/>
        <v>234.0000000000001</v>
      </c>
      <c r="AE39" s="459" t="s">
        <v>199</v>
      </c>
      <c r="AF39" s="242">
        <f aca="true" t="shared" si="20" ref="AF39:AM39">SUM(AF8:AF38)</f>
        <v>6.793</v>
      </c>
      <c r="AG39" s="242">
        <f t="shared" si="20"/>
        <v>6.836999999999999</v>
      </c>
      <c r="AH39" s="488">
        <f t="shared" si="20"/>
        <v>7214.874845600001</v>
      </c>
      <c r="AI39" s="488">
        <f>SUM(AI8:AI38)</f>
        <v>130.428706</v>
      </c>
      <c r="AJ39" s="488">
        <f t="shared" si="20"/>
        <v>7983.3592</v>
      </c>
      <c r="AK39" s="488">
        <f t="shared" si="20"/>
        <v>129.331656</v>
      </c>
      <c r="AL39" s="488">
        <f t="shared" si="20"/>
        <v>869.0689040000001</v>
      </c>
      <c r="AM39" s="488">
        <f t="shared" si="20"/>
        <v>29.45545584</v>
      </c>
      <c r="AN39" s="12">
        <v>14.717</v>
      </c>
      <c r="AO39" s="232">
        <v>14.71</v>
      </c>
      <c r="AP39" s="232">
        <v>14.551</v>
      </c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EB39" s="236"/>
      <c r="EC39" s="239"/>
      <c r="ED39" s="237"/>
      <c r="EE39" s="240"/>
      <c r="EF39" s="240"/>
      <c r="EG39" s="237"/>
      <c r="EH39" s="240"/>
      <c r="EI39" s="236"/>
    </row>
    <row r="40" spans="1:139" ht="25.5" customHeight="1">
      <c r="A40" s="147" t="s">
        <v>37</v>
      </c>
      <c r="B40" s="146">
        <f>AVERAGE(B8:B38)</f>
        <v>0.10233333333333333</v>
      </c>
      <c r="C40" s="460">
        <f aca="true" t="shared" si="21" ref="C40:AD40">AVERAGE(C8:C38)</f>
        <v>0.22643333333333335</v>
      </c>
      <c r="D40" s="460">
        <f t="shared" si="21"/>
        <v>0.22756666666666664</v>
      </c>
      <c r="E40" s="145">
        <v>0</v>
      </c>
      <c r="F40" s="145">
        <f t="shared" si="21"/>
        <v>15.563636363636364</v>
      </c>
      <c r="G40" s="145">
        <f t="shared" si="21"/>
        <v>16.654545454545456</v>
      </c>
      <c r="H40" s="145">
        <f t="shared" si="21"/>
        <v>278.42400000000004</v>
      </c>
      <c r="I40" s="145">
        <f t="shared" si="21"/>
        <v>4.85</v>
      </c>
      <c r="J40" s="145">
        <f>AVERAGE(J8:J38)</f>
        <v>8.691913733333335</v>
      </c>
      <c r="K40" s="461">
        <f>AVERAGE(K8:K38)</f>
        <v>0.9811452007391176</v>
      </c>
      <c r="L40" s="145">
        <f t="shared" si="21"/>
        <v>304.53333333333336</v>
      </c>
      <c r="M40" s="145">
        <f t="shared" si="21"/>
        <v>4.720000000000001</v>
      </c>
      <c r="N40" s="145">
        <f>AVERAGE(N8:N38)</f>
        <v>8.6221104</v>
      </c>
      <c r="O40" s="461">
        <f>AVERAGE(O8:O38)</f>
        <v>0.98064229883062</v>
      </c>
      <c r="P40" s="145">
        <f t="shared" si="21"/>
        <v>22.869565217391305</v>
      </c>
      <c r="Q40" s="146">
        <f t="shared" si="21"/>
        <v>0</v>
      </c>
      <c r="R40" s="145">
        <f t="shared" si="21"/>
        <v>2.2818181818181817</v>
      </c>
      <c r="S40" s="145">
        <f t="shared" si="21"/>
        <v>6.534090909090907</v>
      </c>
      <c r="T40" s="145">
        <f t="shared" si="21"/>
        <v>7.822727272727272</v>
      </c>
      <c r="U40" s="145">
        <f t="shared" si="21"/>
        <v>7.543181818181816</v>
      </c>
      <c r="V40" s="145">
        <f t="shared" si="21"/>
        <v>33.11333333333334</v>
      </c>
      <c r="W40" s="145">
        <f t="shared" si="21"/>
        <v>1.0656</v>
      </c>
      <c r="X40" s="145">
        <f>AVERAGE(X8:X38)</f>
        <v>1.9602970559999997</v>
      </c>
      <c r="Y40" s="461">
        <f>AVERAGE(Y8:Y38)</f>
        <v>0.9701046169611565</v>
      </c>
      <c r="Z40" s="145">
        <f t="shared" si="21"/>
        <v>1.5875</v>
      </c>
      <c r="AA40" s="462"/>
      <c r="AB40" s="146">
        <f t="shared" si="21"/>
        <v>0.011818181818181818</v>
      </c>
      <c r="AC40" s="145">
        <v>17.36</v>
      </c>
      <c r="AD40" s="145">
        <f t="shared" si="21"/>
        <v>7.800000000000003</v>
      </c>
      <c r="AE40" s="463" t="s">
        <v>200</v>
      </c>
      <c r="AF40" s="243">
        <f>AVERAGE(AF8:AF38)</f>
        <v>0.22643333333333335</v>
      </c>
      <c r="AG40" s="243">
        <f>AVERAGE(AG8:AG38)</f>
        <v>0.22789999999999996</v>
      </c>
      <c r="AH40" s="489">
        <f aca="true" t="shared" si="22" ref="AH40:AM40">AVERAGE(AH9:AH38)</f>
        <v>480.59820325714287</v>
      </c>
      <c r="AI40" s="489">
        <f>AVERAGE(AI9:AI38)</f>
        <v>8.702050428571429</v>
      </c>
      <c r="AJ40" s="489">
        <f t="shared" si="22"/>
        <v>552.8185142857143</v>
      </c>
      <c r="AK40" s="489">
        <f t="shared" si="22"/>
        <v>8.530832571428572</v>
      </c>
      <c r="AL40" s="489">
        <f t="shared" si="22"/>
        <v>57.540636000000006</v>
      </c>
      <c r="AM40" s="489">
        <f t="shared" si="22"/>
        <v>2.03253256</v>
      </c>
      <c r="AN40" s="13">
        <f>AVERAGE(AN8:AN38)</f>
        <v>0.9811631636831807</v>
      </c>
      <c r="AO40" s="13">
        <f>AVERAGE(AO8:AO38)</f>
        <v>0.9805972058905502</v>
      </c>
      <c r="AP40" s="13">
        <f>AVERAGE(AP8:AP38)</f>
        <v>0.968136301098061</v>
      </c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EB40" s="236"/>
      <c r="EC40" s="241"/>
      <c r="ED40" s="237"/>
      <c r="EE40" s="240"/>
      <c r="EF40" s="240"/>
      <c r="EG40" s="237"/>
      <c r="EH40" s="240"/>
      <c r="EI40" s="236"/>
    </row>
    <row r="41" spans="1:139" ht="25.5" customHeight="1">
      <c r="A41" s="15" t="s">
        <v>38</v>
      </c>
      <c r="B41" s="146">
        <f aca="true" t="shared" si="23" ref="B41:H41">MAXA(B8:B38)</f>
        <v>1.14</v>
      </c>
      <c r="C41" s="460">
        <f t="shared" si="23"/>
        <v>0.43</v>
      </c>
      <c r="D41" s="460">
        <f t="shared" si="23"/>
        <v>0.372</v>
      </c>
      <c r="E41" s="145">
        <f t="shared" si="23"/>
        <v>0</v>
      </c>
      <c r="F41" s="145">
        <f t="shared" si="23"/>
        <v>18.7</v>
      </c>
      <c r="G41" s="145">
        <f t="shared" si="23"/>
        <v>18.6</v>
      </c>
      <c r="H41" s="464">
        <f t="shared" si="23"/>
        <v>356.5</v>
      </c>
      <c r="I41" s="464">
        <f aca="true" t="shared" si="24" ref="I41:AD41">MAXA(I8:I38)</f>
        <v>6.6</v>
      </c>
      <c r="J41" s="464">
        <f>MAXA(J8:J38)</f>
        <v>13.9</v>
      </c>
      <c r="K41" s="465">
        <f>MAXA(K8:K38)</f>
        <v>0.9953285580815945</v>
      </c>
      <c r="L41" s="464">
        <f t="shared" si="24"/>
        <v>1060</v>
      </c>
      <c r="M41" s="464">
        <f t="shared" si="24"/>
        <v>10</v>
      </c>
      <c r="N41" s="464">
        <f>MAXA(N8:N38)</f>
        <v>21.1836</v>
      </c>
      <c r="O41" s="465">
        <f>MAXA(O8:O38)</f>
        <v>0.996</v>
      </c>
      <c r="P41" s="464">
        <f t="shared" si="24"/>
        <v>37</v>
      </c>
      <c r="Q41" s="466">
        <f t="shared" si="24"/>
        <v>0</v>
      </c>
      <c r="R41" s="464">
        <f t="shared" si="24"/>
        <v>5</v>
      </c>
      <c r="S41" s="464">
        <f t="shared" si="24"/>
        <v>6.8</v>
      </c>
      <c r="T41" s="464">
        <f t="shared" si="24"/>
        <v>8.1</v>
      </c>
      <c r="U41" s="464">
        <f t="shared" si="24"/>
        <v>7.7</v>
      </c>
      <c r="V41" s="464">
        <f t="shared" si="24"/>
        <v>46.2</v>
      </c>
      <c r="W41" s="464">
        <f t="shared" si="24"/>
        <v>3.2</v>
      </c>
      <c r="X41" s="464">
        <f>MAXA(X8:X38)</f>
        <v>6.80544</v>
      </c>
      <c r="Y41" s="465">
        <f>MAXA(Y8:Y38)</f>
        <v>0.996</v>
      </c>
      <c r="Z41" s="464">
        <f t="shared" si="24"/>
        <v>6.3</v>
      </c>
      <c r="AA41" s="467"/>
      <c r="AB41" s="466">
        <f t="shared" si="24"/>
        <v>0.02</v>
      </c>
      <c r="AC41" s="464">
        <f t="shared" si="24"/>
        <v>34.3</v>
      </c>
      <c r="AD41" s="464">
        <f t="shared" si="24"/>
        <v>7.8</v>
      </c>
      <c r="AE41" s="463" t="s">
        <v>201</v>
      </c>
      <c r="AF41" s="243">
        <f>MAXA(AF8:AF38)</f>
        <v>0.43</v>
      </c>
      <c r="AG41" s="243">
        <f>MAXA(AG8:AG38)</f>
        <v>0.372</v>
      </c>
      <c r="AH41" s="489">
        <f aca="true" t="shared" si="25" ref="AH41:AM41">MAXA(AH9:AH38)</f>
        <v>594.2917199999999</v>
      </c>
      <c r="AI41" s="489">
        <f>MAXA(AI9:AI38)</f>
        <v>13.9</v>
      </c>
      <c r="AJ41" s="489">
        <f t="shared" si="25"/>
        <v>1953.7</v>
      </c>
      <c r="AK41" s="489">
        <f t="shared" si="25"/>
        <v>21.1836</v>
      </c>
      <c r="AL41" s="489">
        <f t="shared" si="25"/>
        <v>75.13506</v>
      </c>
      <c r="AM41" s="489">
        <f t="shared" si="25"/>
        <v>6.80544</v>
      </c>
      <c r="AN41" s="13">
        <f>MAXA(AN8:AN38)</f>
        <v>0.9953285580815945</v>
      </c>
      <c r="AO41" s="13">
        <f>MAXA(AO8:AO38)</f>
        <v>0.9958490566037735</v>
      </c>
      <c r="AP41" s="13">
        <f>MAXA(AP8:AP38)</f>
        <v>0.9962825278810409</v>
      </c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EB41" s="236"/>
      <c r="EC41" s="241"/>
      <c r="ED41" s="237"/>
      <c r="EE41" s="240"/>
      <c r="EF41" s="240"/>
      <c r="EG41" s="237"/>
      <c r="EH41" s="240"/>
      <c r="EI41" s="236"/>
    </row>
    <row r="42" spans="1:139" ht="25.5" customHeight="1" thickBot="1">
      <c r="A42" s="181" t="s">
        <v>39</v>
      </c>
      <c r="B42" s="468">
        <f>MINA(B8:B38)</f>
        <v>0</v>
      </c>
      <c r="C42" s="469">
        <f>MIN(C8:C38)</f>
        <v>0.185</v>
      </c>
      <c r="D42" s="469">
        <f aca="true" t="shared" si="26" ref="D42:AD42">MIN(D8:D38)</f>
        <v>0.101</v>
      </c>
      <c r="E42" s="470">
        <f t="shared" si="26"/>
        <v>0</v>
      </c>
      <c r="F42" s="470">
        <f t="shared" si="26"/>
        <v>14.3</v>
      </c>
      <c r="G42" s="470">
        <f t="shared" si="26"/>
        <v>14.8</v>
      </c>
      <c r="H42" s="470">
        <f t="shared" si="26"/>
        <v>146.4</v>
      </c>
      <c r="I42" s="470">
        <f t="shared" si="26"/>
        <v>1.5</v>
      </c>
      <c r="J42" s="470">
        <f>MIN(J8:J38)</f>
        <v>2.6145899999999997</v>
      </c>
      <c r="K42" s="471">
        <f>MIN(K8:K38)</f>
        <v>0.956</v>
      </c>
      <c r="L42" s="470">
        <f t="shared" si="26"/>
        <v>100</v>
      </c>
      <c r="M42" s="470">
        <f t="shared" si="26"/>
        <v>1.2</v>
      </c>
      <c r="N42" s="470">
        <f>MIN(N8:N38)</f>
        <v>1.347744</v>
      </c>
      <c r="O42" s="471">
        <f>MIN(O8:O38)</f>
        <v>0.962</v>
      </c>
      <c r="P42" s="470">
        <f t="shared" si="26"/>
        <v>15</v>
      </c>
      <c r="Q42" s="468">
        <f t="shared" si="26"/>
        <v>0</v>
      </c>
      <c r="R42" s="470">
        <f t="shared" si="26"/>
        <v>0.1</v>
      </c>
      <c r="S42" s="470">
        <f t="shared" si="26"/>
        <v>6.2</v>
      </c>
      <c r="T42" s="470">
        <f t="shared" si="26"/>
        <v>7.6</v>
      </c>
      <c r="U42" s="470">
        <f t="shared" si="26"/>
        <v>7.5</v>
      </c>
      <c r="V42" s="470">
        <f t="shared" si="26"/>
        <v>24.1</v>
      </c>
      <c r="W42" s="470">
        <f t="shared" si="26"/>
        <v>0.1</v>
      </c>
      <c r="X42" s="470">
        <f>MIN(X8:X38)</f>
        <v>0.169</v>
      </c>
      <c r="Y42" s="471">
        <f>MIN(Y8:Y38)</f>
        <v>0.9085714285714286</v>
      </c>
      <c r="Z42" s="470">
        <f t="shared" si="26"/>
        <v>1</v>
      </c>
      <c r="AA42" s="472"/>
      <c r="AB42" s="468">
        <f t="shared" si="26"/>
        <v>0</v>
      </c>
      <c r="AC42" s="470">
        <f t="shared" si="26"/>
        <v>9.4</v>
      </c>
      <c r="AD42" s="470">
        <f t="shared" si="26"/>
        <v>7.8</v>
      </c>
      <c r="AE42" s="463" t="s">
        <v>202</v>
      </c>
      <c r="AF42" s="244">
        <f>MIN(AF8:AF38)</f>
        <v>0.185</v>
      </c>
      <c r="AG42" s="244">
        <f>MIN(AG8:AG38)</f>
        <v>0.101</v>
      </c>
      <c r="AH42" s="490">
        <f aca="true" t="shared" si="27" ref="AH42:AM42">MIN(AH9:AH38)</f>
        <v>323.6</v>
      </c>
      <c r="AI42" s="490">
        <f>MIN(AI9:AI38)</f>
        <v>2.6145899999999997</v>
      </c>
      <c r="AJ42" s="490">
        <f t="shared" si="27"/>
        <v>221</v>
      </c>
      <c r="AK42" s="490">
        <f t="shared" si="27"/>
        <v>1.347744</v>
      </c>
      <c r="AL42" s="490">
        <f t="shared" si="27"/>
        <v>39.3</v>
      </c>
      <c r="AM42" s="490">
        <f t="shared" si="27"/>
        <v>0.2</v>
      </c>
      <c r="AN42" s="14">
        <f>MIN(AN8:AN38)</f>
        <v>0.956</v>
      </c>
      <c r="AO42" s="14">
        <f>MIN(AO8:AO38)</f>
        <v>0.9617647058823531</v>
      </c>
      <c r="AP42" s="14">
        <f>MIN(AP8:AP38)</f>
        <v>0.9085714285714286</v>
      </c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EB42" s="236"/>
      <c r="EC42" s="241"/>
      <c r="ED42" s="237"/>
      <c r="EE42" s="240"/>
      <c r="EF42" s="240"/>
      <c r="EG42" s="237"/>
      <c r="EH42" s="240"/>
      <c r="EI42" s="236"/>
    </row>
    <row r="43" spans="1:55" ht="28.5" customHeight="1" thickTop="1">
      <c r="A43" s="533" t="s">
        <v>531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5"/>
      <c r="AE43" s="245"/>
      <c r="AF43" s="246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</row>
    <row r="44" spans="1:55" ht="18" customHeight="1">
      <c r="A44" s="536"/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8"/>
      <c r="AE44" s="247"/>
      <c r="AF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</row>
    <row r="45" spans="1:55" ht="18" customHeight="1" thickBot="1">
      <c r="A45" s="539"/>
      <c r="B45" s="540"/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1"/>
      <c r="AE45" s="247"/>
      <c r="AF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</row>
    <row r="46" ht="18" customHeight="1">
      <c r="L46" s="241"/>
    </row>
    <row r="52" ht="36" customHeight="1"/>
    <row r="53" ht="35.25" customHeight="1"/>
    <row r="101" spans="4:15" ht="42" customHeight="1">
      <c r="D101"/>
      <c r="E101"/>
      <c r="F101"/>
      <c r="G101"/>
      <c r="H101"/>
      <c r="I101"/>
      <c r="J101"/>
      <c r="K101"/>
      <c r="L101"/>
      <c r="M101"/>
      <c r="N101"/>
      <c r="O101"/>
    </row>
    <row r="102" spans="4:15" ht="36.75" customHeight="1">
      <c r="D102"/>
      <c r="E102"/>
      <c r="F102"/>
      <c r="G102"/>
      <c r="H102"/>
      <c r="I102"/>
      <c r="J102"/>
      <c r="K102"/>
      <c r="L102"/>
      <c r="M102"/>
      <c r="N102"/>
      <c r="O102"/>
    </row>
    <row r="103" spans="4:15" ht="30.75" customHeight="1">
      <c r="D103"/>
      <c r="E103"/>
      <c r="F103"/>
      <c r="G103"/>
      <c r="H103"/>
      <c r="I103"/>
      <c r="J103"/>
      <c r="K103"/>
      <c r="L103"/>
      <c r="M103"/>
      <c r="N103"/>
      <c r="O103"/>
    </row>
    <row r="104" spans="4:15" ht="18" customHeight="1">
      <c r="D104"/>
      <c r="E104"/>
      <c r="F104"/>
      <c r="G104"/>
      <c r="H104"/>
      <c r="I104"/>
      <c r="J104"/>
      <c r="K104"/>
      <c r="L104"/>
      <c r="M104"/>
      <c r="N104"/>
      <c r="O104"/>
    </row>
    <row r="105" spans="4:15" ht="18" customHeight="1">
      <c r="D105"/>
      <c r="E105"/>
      <c r="F105"/>
      <c r="G105"/>
      <c r="H105"/>
      <c r="I105"/>
      <c r="J105"/>
      <c r="K105"/>
      <c r="L105"/>
      <c r="M105"/>
      <c r="N105"/>
      <c r="O105"/>
    </row>
    <row r="106" spans="4:15" ht="18" customHeight="1">
      <c r="D106"/>
      <c r="E106"/>
      <c r="F106"/>
      <c r="G106"/>
      <c r="H106"/>
      <c r="I106"/>
      <c r="J106"/>
      <c r="K106"/>
      <c r="L106"/>
      <c r="M106"/>
      <c r="N106"/>
      <c r="O106"/>
    </row>
    <row r="107" spans="4:15" ht="18" customHeight="1">
      <c r="D107"/>
      <c r="E107"/>
      <c r="F107"/>
      <c r="G107"/>
      <c r="H107"/>
      <c r="I107"/>
      <c r="J107"/>
      <c r="K107"/>
      <c r="L107"/>
      <c r="M107"/>
      <c r="N107"/>
      <c r="O107"/>
    </row>
    <row r="108" spans="4:15" ht="18" customHeight="1">
      <c r="D108"/>
      <c r="E108"/>
      <c r="F108"/>
      <c r="G108"/>
      <c r="H108"/>
      <c r="I108"/>
      <c r="J108"/>
      <c r="K108"/>
      <c r="L108"/>
      <c r="M108"/>
      <c r="N108"/>
      <c r="O108"/>
    </row>
    <row r="109" spans="4:15" ht="18" customHeight="1">
      <c r="D109"/>
      <c r="E109"/>
      <c r="F109"/>
      <c r="G109"/>
      <c r="H109"/>
      <c r="I109"/>
      <c r="J109"/>
      <c r="K109"/>
      <c r="L109"/>
      <c r="M109"/>
      <c r="N109"/>
      <c r="O109"/>
    </row>
    <row r="110" spans="4:15" ht="18" customHeight="1">
      <c r="D110"/>
      <c r="E110"/>
      <c r="F110"/>
      <c r="G110"/>
      <c r="H110"/>
      <c r="I110"/>
      <c r="J110"/>
      <c r="K110"/>
      <c r="L110"/>
      <c r="M110"/>
      <c r="N110"/>
      <c r="O110"/>
    </row>
    <row r="111" spans="4:15" ht="18" customHeight="1">
      <c r="D111"/>
      <c r="E111"/>
      <c r="F111"/>
      <c r="G111"/>
      <c r="H111"/>
      <c r="I111"/>
      <c r="J111"/>
      <c r="K111"/>
      <c r="L111"/>
      <c r="M111"/>
      <c r="N111"/>
      <c r="O111"/>
    </row>
    <row r="112" spans="4:15" ht="18" customHeight="1">
      <c r="D112"/>
      <c r="E112"/>
      <c r="F112"/>
      <c r="G112"/>
      <c r="H112"/>
      <c r="I112"/>
      <c r="J112"/>
      <c r="K112"/>
      <c r="L112"/>
      <c r="M112"/>
      <c r="N112"/>
      <c r="O112"/>
    </row>
    <row r="113" spans="4:15" ht="18" customHeight="1">
      <c r="D113"/>
      <c r="E113"/>
      <c r="F113"/>
      <c r="G113"/>
      <c r="H113"/>
      <c r="I113"/>
      <c r="J113"/>
      <c r="K113"/>
      <c r="L113"/>
      <c r="M113"/>
      <c r="N113"/>
      <c r="O113"/>
    </row>
    <row r="114" spans="4:15" ht="18" customHeight="1">
      <c r="D114"/>
      <c r="E114"/>
      <c r="F114"/>
      <c r="G114"/>
      <c r="H114"/>
      <c r="I114"/>
      <c r="J114"/>
      <c r="K114"/>
      <c r="L114"/>
      <c r="M114"/>
      <c r="N114"/>
      <c r="O114"/>
    </row>
    <row r="115" spans="4:15" ht="18" customHeight="1">
      <c r="D115"/>
      <c r="E115"/>
      <c r="F115"/>
      <c r="G115"/>
      <c r="H115"/>
      <c r="I115"/>
      <c r="J115"/>
      <c r="K115"/>
      <c r="L115"/>
      <c r="M115"/>
      <c r="N115"/>
      <c r="O115"/>
    </row>
    <row r="116" spans="4:15" ht="18" customHeight="1">
      <c r="D116"/>
      <c r="E116"/>
      <c r="F116"/>
      <c r="G116"/>
      <c r="H116"/>
      <c r="I116"/>
      <c r="J116"/>
      <c r="K116"/>
      <c r="L116"/>
      <c r="M116"/>
      <c r="N116"/>
      <c r="O116"/>
    </row>
    <row r="117" spans="4:15" ht="18" customHeight="1">
      <c r="D117"/>
      <c r="E117"/>
      <c r="F117"/>
      <c r="G117"/>
      <c r="H117"/>
      <c r="I117"/>
      <c r="J117"/>
      <c r="K117"/>
      <c r="L117"/>
      <c r="M117"/>
      <c r="N117"/>
      <c r="O117"/>
    </row>
    <row r="118" spans="4:15" ht="18" customHeight="1">
      <c r="D118"/>
      <c r="E118"/>
      <c r="F118"/>
      <c r="G118"/>
      <c r="H118"/>
      <c r="I118"/>
      <c r="J118"/>
      <c r="K118"/>
      <c r="L118"/>
      <c r="M118"/>
      <c r="N118"/>
      <c r="O118"/>
    </row>
    <row r="119" spans="4:15" ht="18" customHeight="1">
      <c r="D119"/>
      <c r="E119"/>
      <c r="F119"/>
      <c r="G119"/>
      <c r="H119"/>
      <c r="I119"/>
      <c r="J119"/>
      <c r="K119"/>
      <c r="L119"/>
      <c r="M119"/>
      <c r="N119"/>
      <c r="O119"/>
    </row>
    <row r="120" spans="4:15" ht="18" customHeight="1">
      <c r="D120"/>
      <c r="E120"/>
      <c r="F120"/>
      <c r="G120"/>
      <c r="H120"/>
      <c r="I120"/>
      <c r="J120"/>
      <c r="K120"/>
      <c r="L120"/>
      <c r="M120"/>
      <c r="N120"/>
      <c r="O120"/>
    </row>
  </sheetData>
  <sheetProtection/>
  <mergeCells count="34">
    <mergeCell ref="BC5:BD5"/>
    <mergeCell ref="AR4:BD4"/>
    <mergeCell ref="AR5:AR7"/>
    <mergeCell ref="AW5:AX5"/>
    <mergeCell ref="AY5:AZ5"/>
    <mergeCell ref="AS5:AT5"/>
    <mergeCell ref="AU5:AV5"/>
    <mergeCell ref="AN5:AP5"/>
    <mergeCell ref="A43:AD45"/>
    <mergeCell ref="AF1:AG2"/>
    <mergeCell ref="BA5:BB5"/>
    <mergeCell ref="AN4:AP4"/>
    <mergeCell ref="AC3:AD3"/>
    <mergeCell ref="AH3:AI3"/>
    <mergeCell ref="AJ3:AK3"/>
    <mergeCell ref="AL3:AM3"/>
    <mergeCell ref="F3:G3"/>
    <mergeCell ref="AH1:AM2"/>
    <mergeCell ref="A1:AD1"/>
    <mergeCell ref="A2:AD2"/>
    <mergeCell ref="P4:Q4"/>
    <mergeCell ref="R4:S4"/>
    <mergeCell ref="T4:U4"/>
    <mergeCell ref="C3:D3"/>
    <mergeCell ref="Z3:AB3"/>
    <mergeCell ref="P3:Q3"/>
    <mergeCell ref="R3:S3"/>
    <mergeCell ref="H4:K4"/>
    <mergeCell ref="L3:O3"/>
    <mergeCell ref="L4:O4"/>
    <mergeCell ref="V3:Y3"/>
    <mergeCell ref="V4:Y4"/>
    <mergeCell ref="T3:U3"/>
    <mergeCell ref="H3:K3"/>
  </mergeCells>
  <printOptions horizontalCentered="1" verticalCentered="1"/>
  <pageMargins left="0" right="0" top="0.5" bottom="0" header="0" footer="0"/>
  <pageSetup fitToHeight="1" fitToWidth="1" horizontalDpi="300" verticalDpi="300" orientation="landscape" paperSize="5" scale="40" r:id="rId1"/>
  <headerFooter alignWithMargins="0">
    <oddHeader>&amp;C&amp;"Arial,Bold"&amp;16City of Maynardville WWTP
Permit # TN0022870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41"/>
  <sheetViews>
    <sheetView zoomScale="60" zoomScaleNormal="6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7" sqref="A37"/>
    </sheetView>
  </sheetViews>
  <sheetFormatPr defaultColWidth="9.140625" defaultRowHeight="18" customHeight="1"/>
  <cols>
    <col min="1" max="1" width="7.00390625" style="220" customWidth="1"/>
    <col min="2" max="2" width="14.00390625" style="220" customWidth="1"/>
    <col min="3" max="3" width="15.7109375" style="220" hidden="1" customWidth="1"/>
    <col min="4" max="4" width="15.7109375" style="220" customWidth="1"/>
    <col min="5" max="5" width="14.00390625" style="220" bestFit="1" customWidth="1"/>
    <col min="6" max="10" width="14.00390625" style="220" customWidth="1"/>
    <col min="11" max="11" width="14.00390625" style="220" bestFit="1" customWidth="1"/>
    <col min="12" max="19" width="14.00390625" style="220" customWidth="1"/>
    <col min="20" max="20" width="18.57421875" style="220" customWidth="1"/>
    <col min="21" max="26" width="14.00390625" style="220" customWidth="1"/>
    <col min="27" max="27" width="26.8515625" style="220" customWidth="1"/>
    <col min="28" max="28" width="31.57421875" style="220" customWidth="1"/>
    <col min="29" max="29" width="32.28125" style="220" customWidth="1"/>
    <col min="30" max="30" width="5.57421875" style="220" customWidth="1"/>
    <col min="31" max="31" width="15.7109375" style="220" customWidth="1"/>
    <col min="32" max="32" width="6.421875" style="220" customWidth="1"/>
    <col min="33" max="33" width="6.140625" style="220" customWidth="1"/>
    <col min="34" max="34" width="6.7109375" style="220" customWidth="1"/>
    <col min="35" max="35" width="5.57421875" style="220" customWidth="1"/>
    <col min="36" max="36" width="6.421875" style="220" customWidth="1"/>
    <col min="37" max="37" width="6.8515625" style="220" customWidth="1"/>
    <col min="38" max="38" width="7.140625" style="220" customWidth="1"/>
    <col min="39" max="39" width="6.140625" style="220" customWidth="1"/>
    <col min="40" max="40" width="6.7109375" style="220" customWidth="1"/>
    <col min="41" max="41" width="5.57421875" style="220" customWidth="1"/>
    <col min="42" max="42" width="5.421875" style="220" customWidth="1"/>
    <col min="43" max="43" width="11.57421875" style="220" customWidth="1"/>
    <col min="44" max="44" width="10.8515625" style="220" customWidth="1"/>
    <col min="45" max="45" width="6.7109375" style="220" customWidth="1"/>
    <col min="46" max="46" width="9.421875" style="220" customWidth="1"/>
    <col min="47" max="47" width="7.8515625" style="220" customWidth="1"/>
    <col min="48" max="16384" width="9.140625" style="220" customWidth="1"/>
  </cols>
  <sheetData>
    <row r="1" spans="1:29" ht="28.5" customHeight="1" thickBot="1">
      <c r="A1" s="565">
        <v>45383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7"/>
      <c r="AB1" s="556" t="s">
        <v>395</v>
      </c>
      <c r="AC1" s="557"/>
    </row>
    <row r="2" spans="1:29" ht="21.75" customHeight="1">
      <c r="A2" s="252"/>
      <c r="B2" s="562" t="s">
        <v>439</v>
      </c>
      <c r="C2" s="562"/>
      <c r="D2" s="562"/>
      <c r="E2" s="562"/>
      <c r="F2" s="562"/>
      <c r="G2" s="562"/>
      <c r="H2" s="562"/>
      <c r="I2" s="562"/>
      <c r="J2" s="562"/>
      <c r="K2" s="562"/>
      <c r="L2" s="562" t="s">
        <v>440</v>
      </c>
      <c r="M2" s="562"/>
      <c r="N2" s="562"/>
      <c r="O2" s="562"/>
      <c r="P2" s="562"/>
      <c r="Q2" s="562"/>
      <c r="R2" s="562"/>
      <c r="S2" s="562"/>
      <c r="T2" s="562"/>
      <c r="U2" s="558"/>
      <c r="V2" s="562"/>
      <c r="W2" s="562"/>
      <c r="X2" s="562"/>
      <c r="Y2" s="562"/>
      <c r="Z2" s="563"/>
      <c r="AB2" s="558"/>
      <c r="AC2" s="559"/>
    </row>
    <row r="3" spans="1:29" ht="21.75" customHeight="1">
      <c r="A3" s="187" t="s">
        <v>3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64"/>
      <c r="V3" s="518"/>
      <c r="W3" s="518"/>
      <c r="X3" s="518"/>
      <c r="Y3" s="518"/>
      <c r="Z3" s="519"/>
      <c r="AB3" s="558"/>
      <c r="AC3" s="559"/>
    </row>
    <row r="4" spans="1:29" ht="21.75" customHeight="1">
      <c r="A4" s="185" t="s">
        <v>9</v>
      </c>
      <c r="B4" s="216"/>
      <c r="C4" s="173" t="s">
        <v>42</v>
      </c>
      <c r="D4" s="173" t="s">
        <v>42</v>
      </c>
      <c r="E4" s="184" t="s">
        <v>16</v>
      </c>
      <c r="F4" s="184" t="s">
        <v>43</v>
      </c>
      <c r="G4" s="184" t="s">
        <v>390</v>
      </c>
      <c r="H4" s="184"/>
      <c r="I4" s="184"/>
      <c r="J4" s="184"/>
      <c r="K4" s="185"/>
      <c r="L4" s="216"/>
      <c r="M4" s="173" t="s">
        <v>42</v>
      </c>
      <c r="N4" s="184" t="s">
        <v>16</v>
      </c>
      <c r="O4" s="184" t="s">
        <v>43</v>
      </c>
      <c r="P4" s="184" t="s">
        <v>390</v>
      </c>
      <c r="Q4" s="184"/>
      <c r="R4" s="184"/>
      <c r="S4" s="184"/>
      <c r="T4" s="185"/>
      <c r="U4" s="186"/>
      <c r="V4" s="183"/>
      <c r="W4" s="183"/>
      <c r="X4" s="183"/>
      <c r="Y4" s="183"/>
      <c r="Z4" s="183"/>
      <c r="AB4" s="558"/>
      <c r="AC4" s="559"/>
    </row>
    <row r="5" spans="1:29" ht="21.75" customHeight="1" thickBot="1">
      <c r="A5" s="185" t="s">
        <v>7</v>
      </c>
      <c r="B5" s="188" t="s">
        <v>41</v>
      </c>
      <c r="C5" s="184" t="s">
        <v>25</v>
      </c>
      <c r="D5" s="184" t="s">
        <v>25</v>
      </c>
      <c r="E5" s="184" t="s">
        <v>26</v>
      </c>
      <c r="F5" s="184" t="s">
        <v>388</v>
      </c>
      <c r="G5" s="184" t="s">
        <v>388</v>
      </c>
      <c r="H5" s="184" t="s">
        <v>391</v>
      </c>
      <c r="I5" s="184" t="s">
        <v>44</v>
      </c>
      <c r="J5" s="184" t="s">
        <v>22</v>
      </c>
      <c r="K5" s="185" t="s">
        <v>27</v>
      </c>
      <c r="L5" s="188" t="s">
        <v>41</v>
      </c>
      <c r="M5" s="184" t="s">
        <v>25</v>
      </c>
      <c r="N5" s="184" t="s">
        <v>26</v>
      </c>
      <c r="O5" s="184" t="s">
        <v>388</v>
      </c>
      <c r="P5" s="184" t="s">
        <v>388</v>
      </c>
      <c r="Q5" s="184" t="s">
        <v>391</v>
      </c>
      <c r="R5" s="184" t="s">
        <v>44</v>
      </c>
      <c r="S5" s="184" t="s">
        <v>22</v>
      </c>
      <c r="T5" s="185" t="s">
        <v>27</v>
      </c>
      <c r="U5" s="188"/>
      <c r="V5" s="184"/>
      <c r="W5" s="184"/>
      <c r="X5" s="184"/>
      <c r="Y5" s="184"/>
      <c r="Z5" s="184"/>
      <c r="AB5" s="560"/>
      <c r="AC5" s="561"/>
    </row>
    <row r="6" spans="1:31" ht="21.75" customHeight="1" thickBot="1">
      <c r="A6" s="189" t="s">
        <v>17</v>
      </c>
      <c r="B6" s="191" t="s">
        <v>30</v>
      </c>
      <c r="C6" s="190" t="s">
        <v>33</v>
      </c>
      <c r="D6" s="190" t="s">
        <v>33</v>
      </c>
      <c r="E6" s="190" t="s">
        <v>34</v>
      </c>
      <c r="F6" s="190" t="s">
        <v>389</v>
      </c>
      <c r="G6" s="190" t="s">
        <v>389</v>
      </c>
      <c r="H6" s="190" t="s">
        <v>30</v>
      </c>
      <c r="I6" s="190" t="s">
        <v>99</v>
      </c>
      <c r="J6" s="190" t="s">
        <v>392</v>
      </c>
      <c r="K6" s="189" t="s">
        <v>35</v>
      </c>
      <c r="L6" s="191" t="s">
        <v>30</v>
      </c>
      <c r="M6" s="190" t="s">
        <v>33</v>
      </c>
      <c r="N6" s="190" t="s">
        <v>34</v>
      </c>
      <c r="O6" s="190" t="s">
        <v>389</v>
      </c>
      <c r="P6" s="190" t="s">
        <v>389</v>
      </c>
      <c r="Q6" s="190" t="s">
        <v>30</v>
      </c>
      <c r="R6" s="190" t="s">
        <v>99</v>
      </c>
      <c r="S6" s="190" t="s">
        <v>392</v>
      </c>
      <c r="T6" s="189" t="s">
        <v>35</v>
      </c>
      <c r="U6" s="191"/>
      <c r="V6" s="190"/>
      <c r="W6" s="190"/>
      <c r="X6" s="190"/>
      <c r="Y6" s="190"/>
      <c r="Z6" s="190"/>
      <c r="AB6" s="153" t="s">
        <v>59</v>
      </c>
      <c r="AC6" s="153" t="s">
        <v>406</v>
      </c>
      <c r="AE6" s="296" t="s">
        <v>405</v>
      </c>
    </row>
    <row r="7" spans="1:31" ht="21.75" customHeight="1" thickBot="1">
      <c r="A7" s="217">
        <v>1</v>
      </c>
      <c r="B7" s="262"/>
      <c r="C7" s="253"/>
      <c r="D7" s="253">
        <v>900</v>
      </c>
      <c r="E7" s="254"/>
      <c r="F7" s="255"/>
      <c r="G7" s="256"/>
      <c r="H7" s="257">
        <v>0.2</v>
      </c>
      <c r="I7" s="257">
        <v>7.4</v>
      </c>
      <c r="J7" s="257">
        <v>15.4</v>
      </c>
      <c r="K7" s="258"/>
      <c r="L7" s="253"/>
      <c r="M7" s="253">
        <v>890</v>
      </c>
      <c r="N7" s="254"/>
      <c r="O7" s="255"/>
      <c r="P7" s="256"/>
      <c r="Q7" s="257">
        <v>1.5</v>
      </c>
      <c r="R7" s="257">
        <v>7.4</v>
      </c>
      <c r="S7" s="257">
        <v>13.4</v>
      </c>
      <c r="T7" s="258"/>
      <c r="U7" s="260"/>
      <c r="V7" s="255"/>
      <c r="W7" s="256"/>
      <c r="X7" s="257"/>
      <c r="Y7" s="257"/>
      <c r="Z7" s="259"/>
      <c r="AB7" s="261">
        <f>IF(ISERR(B7*0.5*8.34),"",(B7*0.5*8.34))</f>
        <v>0</v>
      </c>
      <c r="AC7" s="261">
        <f>IF(ISERR(AE7*0.5*8.34),"",(AE7*0.5*8.34))</f>
      </c>
      <c r="AE7" s="259" t="e">
        <f>+IF(#REF!=0,"",#REF!)</f>
        <v>#REF!</v>
      </c>
    </row>
    <row r="8" spans="1:31" ht="21.75" customHeight="1" thickBot="1">
      <c r="A8" s="216">
        <v>2</v>
      </c>
      <c r="B8" s="262">
        <v>3858</v>
      </c>
      <c r="C8" s="262"/>
      <c r="D8" s="262">
        <v>895</v>
      </c>
      <c r="E8" s="254"/>
      <c r="F8" s="264"/>
      <c r="G8" s="265"/>
      <c r="H8" s="266">
        <v>0.3</v>
      </c>
      <c r="I8" s="266">
        <v>7.3</v>
      </c>
      <c r="J8" s="266">
        <v>16.1</v>
      </c>
      <c r="K8" s="267"/>
      <c r="L8" s="262">
        <v>3947</v>
      </c>
      <c r="M8" s="262">
        <v>930</v>
      </c>
      <c r="N8" s="263"/>
      <c r="O8" s="264"/>
      <c r="P8" s="265"/>
      <c r="Q8" s="266">
        <v>1.2</v>
      </c>
      <c r="R8" s="266">
        <v>7.3</v>
      </c>
      <c r="S8" s="266">
        <v>14</v>
      </c>
      <c r="T8" s="267"/>
      <c r="U8" s="269"/>
      <c r="V8" s="264"/>
      <c r="W8" s="265"/>
      <c r="X8" s="266"/>
      <c r="Y8" s="266"/>
      <c r="Z8" s="268"/>
      <c r="AB8" s="261">
        <f aca="true" t="shared" si="0" ref="AB8:AB37">IF(ISERR(B8*0.5*8.34),"",(B8*0.5*8.34))</f>
        <v>16087.86</v>
      </c>
      <c r="AC8" s="261">
        <f aca="true" t="shared" si="1" ref="AC8:AC37">IF(ISERR(AE8*0.5*8.34),"",(AE8*0.5*8.34))</f>
      </c>
      <c r="AE8" s="268" t="e">
        <f>+IF(#REF!=0,"",#REF!)</f>
        <v>#REF!</v>
      </c>
    </row>
    <row r="9" spans="1:31" ht="21.75" customHeight="1" thickBot="1">
      <c r="A9" s="216">
        <v>3</v>
      </c>
      <c r="B9" s="262">
        <v>3540</v>
      </c>
      <c r="C9" s="262"/>
      <c r="D9" s="262">
        <v>890</v>
      </c>
      <c r="E9" s="254"/>
      <c r="F9" s="264"/>
      <c r="G9" s="265"/>
      <c r="H9" s="266">
        <v>0.2</v>
      </c>
      <c r="I9" s="266">
        <v>7.3</v>
      </c>
      <c r="J9" s="266">
        <v>15.9</v>
      </c>
      <c r="K9" s="267"/>
      <c r="L9" s="262">
        <v>3722</v>
      </c>
      <c r="M9" s="262">
        <v>900</v>
      </c>
      <c r="N9" s="263"/>
      <c r="O9" s="264"/>
      <c r="P9" s="265"/>
      <c r="Q9" s="266">
        <v>1.2</v>
      </c>
      <c r="R9" s="266">
        <v>7.3</v>
      </c>
      <c r="S9" s="266">
        <v>14</v>
      </c>
      <c r="T9" s="267"/>
      <c r="U9" s="269"/>
      <c r="V9" s="264"/>
      <c r="W9" s="265"/>
      <c r="X9" s="266"/>
      <c r="Y9" s="266"/>
      <c r="Z9" s="268"/>
      <c r="AB9" s="261">
        <f t="shared" si="0"/>
        <v>14761.8</v>
      </c>
      <c r="AC9" s="261">
        <f t="shared" si="1"/>
      </c>
      <c r="AE9" s="268" t="e">
        <f>+IF(#REF!=0,"",#REF!)</f>
        <v>#REF!</v>
      </c>
    </row>
    <row r="10" spans="1:31" ht="21.75" customHeight="1" thickBot="1">
      <c r="A10" s="216">
        <v>4</v>
      </c>
      <c r="B10" s="262">
        <v>3514</v>
      </c>
      <c r="C10" s="262"/>
      <c r="D10" s="262">
        <v>850</v>
      </c>
      <c r="E10" s="254"/>
      <c r="F10" s="264"/>
      <c r="G10" s="265"/>
      <c r="H10" s="266">
        <v>0.6</v>
      </c>
      <c r="I10" s="266">
        <v>7.35</v>
      </c>
      <c r="J10" s="266">
        <v>15.4</v>
      </c>
      <c r="K10" s="267"/>
      <c r="L10" s="262">
        <v>3428</v>
      </c>
      <c r="M10" s="262">
        <v>870</v>
      </c>
      <c r="N10" s="263"/>
      <c r="O10" s="264"/>
      <c r="P10" s="265"/>
      <c r="Q10" s="266">
        <v>1.6</v>
      </c>
      <c r="R10" s="266">
        <v>7.35</v>
      </c>
      <c r="S10" s="266">
        <v>13.4</v>
      </c>
      <c r="T10" s="267"/>
      <c r="U10" s="269"/>
      <c r="V10" s="264"/>
      <c r="W10" s="265"/>
      <c r="X10" s="266"/>
      <c r="Y10" s="266"/>
      <c r="Z10" s="268"/>
      <c r="AB10" s="261">
        <f t="shared" si="0"/>
        <v>14653.38</v>
      </c>
      <c r="AC10" s="261">
        <f t="shared" si="1"/>
      </c>
      <c r="AE10" s="268" t="e">
        <f>+IF(#REF!=0,"",#REF!)</f>
        <v>#REF!</v>
      </c>
    </row>
    <row r="11" spans="1:31" ht="21.75" customHeight="1" thickBot="1">
      <c r="A11" s="216">
        <v>5</v>
      </c>
      <c r="B11" s="262"/>
      <c r="C11" s="262"/>
      <c r="D11" s="262">
        <v>900</v>
      </c>
      <c r="E11" s="254"/>
      <c r="F11" s="264"/>
      <c r="G11" s="265"/>
      <c r="H11" s="266">
        <v>0.2</v>
      </c>
      <c r="I11" s="266">
        <v>7.36</v>
      </c>
      <c r="J11" s="266">
        <v>14.7</v>
      </c>
      <c r="K11" s="267"/>
      <c r="L11" s="262"/>
      <c r="M11" s="262">
        <v>930</v>
      </c>
      <c r="N11" s="263"/>
      <c r="O11" s="264"/>
      <c r="P11" s="265"/>
      <c r="Q11" s="266">
        <v>1.9</v>
      </c>
      <c r="R11" s="266">
        <v>7.36</v>
      </c>
      <c r="S11" s="266">
        <v>12.7</v>
      </c>
      <c r="T11" s="267"/>
      <c r="U11" s="269"/>
      <c r="V11" s="264"/>
      <c r="W11" s="265"/>
      <c r="X11" s="266"/>
      <c r="Y11" s="266"/>
      <c r="Z11" s="268"/>
      <c r="AB11" s="261">
        <f t="shared" si="0"/>
        <v>0</v>
      </c>
      <c r="AC11" s="261">
        <f t="shared" si="1"/>
      </c>
      <c r="AE11" s="268" t="e">
        <f>+IF(#REF!=0,"",#REF!)</f>
        <v>#REF!</v>
      </c>
    </row>
    <row r="12" spans="1:31" ht="21.75" customHeight="1" thickBot="1">
      <c r="A12" s="216">
        <v>6</v>
      </c>
      <c r="B12" s="262"/>
      <c r="C12" s="262"/>
      <c r="D12" s="262">
        <v>900</v>
      </c>
      <c r="E12" s="254"/>
      <c r="F12" s="264"/>
      <c r="G12" s="265"/>
      <c r="H12" s="266">
        <v>0.8</v>
      </c>
      <c r="I12" s="266"/>
      <c r="J12" s="266">
        <v>14.4</v>
      </c>
      <c r="K12" s="267"/>
      <c r="L12" s="262"/>
      <c r="M12" s="262">
        <v>880</v>
      </c>
      <c r="N12" s="263"/>
      <c r="O12" s="264"/>
      <c r="P12" s="265"/>
      <c r="Q12" s="266">
        <v>1.7</v>
      </c>
      <c r="R12" s="266"/>
      <c r="S12" s="266">
        <v>12.4</v>
      </c>
      <c r="T12" s="267"/>
      <c r="U12" s="269"/>
      <c r="V12" s="264"/>
      <c r="W12" s="265"/>
      <c r="X12" s="266"/>
      <c r="Y12" s="266"/>
      <c r="Z12" s="268"/>
      <c r="AB12" s="261">
        <f t="shared" si="0"/>
        <v>0</v>
      </c>
      <c r="AC12" s="261">
        <f t="shared" si="1"/>
      </c>
      <c r="AE12" s="268" t="e">
        <f>+IF(#REF!=0,"",#REF!)</f>
        <v>#REF!</v>
      </c>
    </row>
    <row r="13" spans="1:31" ht="21.75" customHeight="1" thickBot="1">
      <c r="A13" s="216">
        <v>7</v>
      </c>
      <c r="B13" s="262"/>
      <c r="C13" s="262"/>
      <c r="D13" s="262">
        <v>870</v>
      </c>
      <c r="E13" s="254"/>
      <c r="F13" s="264"/>
      <c r="G13" s="265"/>
      <c r="H13" s="266">
        <v>0.5</v>
      </c>
      <c r="I13" s="266"/>
      <c r="J13" s="266">
        <v>14.5</v>
      </c>
      <c r="K13" s="267"/>
      <c r="L13" s="262"/>
      <c r="M13" s="262">
        <v>890</v>
      </c>
      <c r="N13" s="263"/>
      <c r="O13" s="264"/>
      <c r="P13" s="265"/>
      <c r="Q13" s="266">
        <v>1.5</v>
      </c>
      <c r="R13" s="266"/>
      <c r="S13" s="266">
        <v>12.5</v>
      </c>
      <c r="T13" s="267"/>
      <c r="U13" s="269"/>
      <c r="V13" s="264"/>
      <c r="W13" s="265"/>
      <c r="X13" s="266"/>
      <c r="Y13" s="266"/>
      <c r="Z13" s="268"/>
      <c r="AB13" s="261">
        <f t="shared" si="0"/>
        <v>0</v>
      </c>
      <c r="AC13" s="261">
        <f t="shared" si="1"/>
      </c>
      <c r="AE13" s="268" t="e">
        <f>+IF(#REF!=0,"",#REF!)</f>
        <v>#REF!</v>
      </c>
    </row>
    <row r="14" spans="1:31" ht="21.75" customHeight="1" thickBot="1">
      <c r="A14" s="216">
        <v>8</v>
      </c>
      <c r="B14" s="262">
        <v>3934</v>
      </c>
      <c r="C14" s="262"/>
      <c r="D14" s="262">
        <v>950</v>
      </c>
      <c r="E14" s="254"/>
      <c r="F14" s="264"/>
      <c r="G14" s="265"/>
      <c r="H14" s="266">
        <v>0.2</v>
      </c>
      <c r="I14" s="266">
        <v>7.3</v>
      </c>
      <c r="J14" s="266">
        <v>15.1</v>
      </c>
      <c r="K14" s="267"/>
      <c r="L14" s="262">
        <v>4028</v>
      </c>
      <c r="M14" s="262">
        <v>930</v>
      </c>
      <c r="N14" s="263"/>
      <c r="O14" s="264"/>
      <c r="P14" s="265"/>
      <c r="Q14" s="266">
        <v>1</v>
      </c>
      <c r="R14" s="266">
        <v>7.3</v>
      </c>
      <c r="S14" s="266">
        <v>13</v>
      </c>
      <c r="T14" s="267"/>
      <c r="U14" s="269"/>
      <c r="V14" s="264"/>
      <c r="W14" s="265"/>
      <c r="X14" s="266"/>
      <c r="Y14" s="266"/>
      <c r="Z14" s="268"/>
      <c r="AB14" s="261">
        <f t="shared" si="0"/>
        <v>16404.78</v>
      </c>
      <c r="AC14" s="261">
        <f t="shared" si="1"/>
      </c>
      <c r="AE14" s="268" t="e">
        <f>+IF(#REF!=0,"",#REF!)</f>
        <v>#REF!</v>
      </c>
    </row>
    <row r="15" spans="1:31" ht="21.75" customHeight="1" thickBot="1">
      <c r="A15" s="216">
        <v>9</v>
      </c>
      <c r="B15" s="262">
        <v>4192</v>
      </c>
      <c r="C15" s="262"/>
      <c r="D15" s="262">
        <v>910</v>
      </c>
      <c r="E15" s="254"/>
      <c r="F15" s="264"/>
      <c r="G15" s="265"/>
      <c r="H15" s="266">
        <v>0.2</v>
      </c>
      <c r="I15" s="266">
        <v>7.3</v>
      </c>
      <c r="J15" s="266">
        <v>15.4</v>
      </c>
      <c r="K15" s="267"/>
      <c r="L15" s="262">
        <v>4468</v>
      </c>
      <c r="M15" s="262">
        <v>930</v>
      </c>
      <c r="N15" s="263"/>
      <c r="O15" s="264"/>
      <c r="P15" s="265"/>
      <c r="Q15" s="266">
        <v>1.2</v>
      </c>
      <c r="R15" s="266">
        <v>7.3</v>
      </c>
      <c r="S15" s="266">
        <v>13.4</v>
      </c>
      <c r="T15" s="267"/>
      <c r="U15" s="269"/>
      <c r="V15" s="264"/>
      <c r="W15" s="265"/>
      <c r="X15" s="266"/>
      <c r="Y15" s="266"/>
      <c r="Z15" s="268"/>
      <c r="AB15" s="261">
        <f t="shared" si="0"/>
        <v>17480.64</v>
      </c>
      <c r="AC15" s="261">
        <f t="shared" si="1"/>
      </c>
      <c r="AE15" s="268" t="e">
        <f>+IF(#REF!=0,"",#REF!)</f>
        <v>#REF!</v>
      </c>
    </row>
    <row r="16" spans="1:31" ht="21.75" customHeight="1" thickBot="1">
      <c r="A16" s="216">
        <v>10</v>
      </c>
      <c r="B16" s="262">
        <v>4160</v>
      </c>
      <c r="C16" s="262"/>
      <c r="D16" s="262">
        <v>900</v>
      </c>
      <c r="E16" s="254"/>
      <c r="F16" s="264"/>
      <c r="G16" s="265"/>
      <c r="H16" s="266">
        <v>0.2</v>
      </c>
      <c r="I16" s="266">
        <v>7.2</v>
      </c>
      <c r="J16" s="266">
        <v>15.6</v>
      </c>
      <c r="K16" s="267"/>
      <c r="L16" s="262">
        <v>4522</v>
      </c>
      <c r="M16" s="262">
        <v>920</v>
      </c>
      <c r="N16" s="263"/>
      <c r="O16" s="264"/>
      <c r="P16" s="265"/>
      <c r="Q16" s="266">
        <v>1.5</v>
      </c>
      <c r="R16" s="266">
        <v>7.2</v>
      </c>
      <c r="S16" s="266">
        <v>13.6</v>
      </c>
      <c r="T16" s="267"/>
      <c r="U16" s="269"/>
      <c r="V16" s="264"/>
      <c r="W16" s="265"/>
      <c r="X16" s="266"/>
      <c r="Y16" s="266"/>
      <c r="Z16" s="268"/>
      <c r="AB16" s="261">
        <f t="shared" si="0"/>
        <v>17347.2</v>
      </c>
      <c r="AC16" s="261">
        <f t="shared" si="1"/>
      </c>
      <c r="AE16" s="268" t="e">
        <f>+IF(#REF!=0,"",#REF!)</f>
        <v>#REF!</v>
      </c>
    </row>
    <row r="17" spans="1:31" ht="21.75" customHeight="1" thickBot="1">
      <c r="A17" s="216">
        <v>11</v>
      </c>
      <c r="B17" s="262"/>
      <c r="C17" s="262"/>
      <c r="D17" s="262">
        <v>920</v>
      </c>
      <c r="E17" s="254">
        <f aca="true" t="shared" si="2" ref="E17:E37">IF(ISERR(D17*1000/B17),"",(D17*1000/B17))</f>
      </c>
      <c r="F17" s="264"/>
      <c r="G17" s="265"/>
      <c r="H17" s="266">
        <v>0.2</v>
      </c>
      <c r="I17" s="266">
        <v>7.35</v>
      </c>
      <c r="J17" s="266">
        <v>16.1</v>
      </c>
      <c r="K17" s="267">
        <f>+IF(ISERR((State1!AH18/Aeration!AC17)),"",(State1!AH18/Aeration!AC17))</f>
      </c>
      <c r="L17" s="262"/>
      <c r="M17" s="262">
        <v>930</v>
      </c>
      <c r="N17" s="263">
        <f aca="true" t="shared" si="3" ref="N17:N33">IF(ISERR(M17*1000/L17),"",(M17*1000/L17))</f>
      </c>
      <c r="O17" s="264"/>
      <c r="P17" s="265"/>
      <c r="Q17" s="266">
        <v>0.8</v>
      </c>
      <c r="R17" s="266">
        <v>7.35</v>
      </c>
      <c r="S17" s="266">
        <v>14</v>
      </c>
      <c r="T17" s="267">
        <f>+IF(ISERR((State1!AQ18/Aeration!AL17)),"",(State1!AQ18/Aeration!AL17))</f>
      </c>
      <c r="U17" s="269"/>
      <c r="V17" s="264"/>
      <c r="W17" s="265"/>
      <c r="X17" s="266"/>
      <c r="Y17" s="266"/>
      <c r="Z17" s="268"/>
      <c r="AB17" s="261">
        <f t="shared" si="0"/>
        <v>0</v>
      </c>
      <c r="AC17" s="261">
        <f t="shared" si="1"/>
      </c>
      <c r="AE17" s="268" t="e">
        <f>+IF(#REF!=0,"",#REF!)</f>
        <v>#REF!</v>
      </c>
    </row>
    <row r="18" spans="1:31" ht="21.75" customHeight="1" thickBot="1">
      <c r="A18" s="216">
        <v>12</v>
      </c>
      <c r="B18" s="262"/>
      <c r="C18" s="262"/>
      <c r="D18" s="262">
        <v>850</v>
      </c>
      <c r="E18" s="254">
        <f t="shared" si="2"/>
      </c>
      <c r="F18" s="264"/>
      <c r="G18" s="265"/>
      <c r="H18" s="266">
        <v>0.2</v>
      </c>
      <c r="I18" s="266">
        <v>7.3</v>
      </c>
      <c r="J18" s="266">
        <v>15.2</v>
      </c>
      <c r="K18" s="267">
        <f>+IF(ISERR((State1!AH19/Aeration!AC18)),"",(State1!AH19/Aeration!AC18))</f>
      </c>
      <c r="L18" s="262"/>
      <c r="M18" s="262">
        <v>870</v>
      </c>
      <c r="N18" s="263">
        <f t="shared" si="3"/>
      </c>
      <c r="O18" s="264"/>
      <c r="P18" s="265"/>
      <c r="Q18" s="266">
        <v>1.6</v>
      </c>
      <c r="R18" s="266">
        <v>7.3</v>
      </c>
      <c r="S18" s="266">
        <v>13.4</v>
      </c>
      <c r="T18" s="267">
        <f>+IF(ISERR((State1!AQ19/Aeration!AL18)),"",(State1!AQ19/Aeration!AL18))</f>
      </c>
      <c r="U18" s="269"/>
      <c r="V18" s="264"/>
      <c r="W18" s="265"/>
      <c r="X18" s="266"/>
      <c r="Y18" s="266"/>
      <c r="Z18" s="268"/>
      <c r="AB18" s="261">
        <f t="shared" si="0"/>
        <v>0</v>
      </c>
      <c r="AC18" s="261">
        <f t="shared" si="1"/>
      </c>
      <c r="AE18" s="268" t="e">
        <f>+IF(#REF!=0,"",#REF!)</f>
        <v>#REF!</v>
      </c>
    </row>
    <row r="19" spans="1:31" ht="21.75" customHeight="1" thickBot="1">
      <c r="A19" s="216">
        <v>13</v>
      </c>
      <c r="B19" s="262"/>
      <c r="C19" s="262"/>
      <c r="D19" s="262">
        <v>850</v>
      </c>
      <c r="E19" s="254">
        <f t="shared" si="2"/>
      </c>
      <c r="F19" s="264"/>
      <c r="G19" s="265"/>
      <c r="H19" s="266">
        <v>1.4</v>
      </c>
      <c r="I19" s="266"/>
      <c r="J19" s="266">
        <v>14.8</v>
      </c>
      <c r="K19" s="267">
        <f>+IF(ISERR((State1!AH20/Aeration!AC19)),"",(State1!AH20/Aeration!AC19))</f>
      </c>
      <c r="L19" s="262"/>
      <c r="M19" s="262">
        <v>870</v>
      </c>
      <c r="N19" s="263">
        <f t="shared" si="3"/>
      </c>
      <c r="O19" s="264"/>
      <c r="P19" s="265"/>
      <c r="Q19" s="266">
        <v>1.6</v>
      </c>
      <c r="R19" s="266"/>
      <c r="S19" s="266">
        <v>12.8</v>
      </c>
      <c r="T19" s="267">
        <f>+IF(ISERR((State1!AQ20/Aeration!AL19)),"",(State1!AQ20/Aeration!AL19))</f>
      </c>
      <c r="U19" s="269"/>
      <c r="V19" s="264"/>
      <c r="W19" s="265"/>
      <c r="X19" s="266"/>
      <c r="Y19" s="266"/>
      <c r="Z19" s="268"/>
      <c r="AB19" s="261">
        <f t="shared" si="0"/>
        <v>0</v>
      </c>
      <c r="AC19" s="261">
        <f t="shared" si="1"/>
      </c>
      <c r="AE19" s="268" t="e">
        <f>+IF(#REF!=0,"",#REF!)</f>
        <v>#REF!</v>
      </c>
    </row>
    <row r="20" spans="1:31" ht="21.75" customHeight="1" thickBot="1">
      <c r="A20" s="216">
        <v>14</v>
      </c>
      <c r="B20" s="262"/>
      <c r="C20" s="262"/>
      <c r="D20" s="262">
        <v>790</v>
      </c>
      <c r="E20" s="254">
        <f t="shared" si="2"/>
      </c>
      <c r="F20" s="264"/>
      <c r="G20" s="265"/>
      <c r="H20" s="266">
        <v>0.2</v>
      </c>
      <c r="I20" s="266"/>
      <c r="J20" s="266">
        <v>15</v>
      </c>
      <c r="K20" s="267">
        <f>+IF(ISERR((State1!AH21/Aeration!AC20)),"",(State1!AH21/Aeration!AC20))</f>
      </c>
      <c r="L20" s="262"/>
      <c r="M20" s="262">
        <v>830</v>
      </c>
      <c r="N20" s="263">
        <f t="shared" si="3"/>
      </c>
      <c r="O20" s="264"/>
      <c r="P20" s="265"/>
      <c r="Q20" s="266">
        <v>1.2</v>
      </c>
      <c r="R20" s="266"/>
      <c r="S20" s="266">
        <v>13</v>
      </c>
      <c r="T20" s="267">
        <f>+IF(ISERR((State1!AQ21/Aeration!AL20)),"",(State1!AQ21/Aeration!AL20))</f>
      </c>
      <c r="U20" s="269"/>
      <c r="V20" s="264"/>
      <c r="W20" s="265"/>
      <c r="X20" s="266"/>
      <c r="Y20" s="266"/>
      <c r="Z20" s="268"/>
      <c r="AB20" s="261">
        <f t="shared" si="0"/>
        <v>0</v>
      </c>
      <c r="AC20" s="261">
        <f t="shared" si="1"/>
      </c>
      <c r="AE20" s="268" t="e">
        <f>+IF(#REF!=0,"",#REF!)</f>
        <v>#REF!</v>
      </c>
    </row>
    <row r="21" spans="1:31" ht="21.75" customHeight="1" thickBot="1">
      <c r="A21" s="216">
        <v>15</v>
      </c>
      <c r="B21" s="262"/>
      <c r="C21" s="262"/>
      <c r="D21" s="262">
        <v>810</v>
      </c>
      <c r="E21" s="254">
        <f t="shared" si="2"/>
      </c>
      <c r="F21" s="264"/>
      <c r="G21" s="265"/>
      <c r="H21" s="266">
        <v>0.3</v>
      </c>
      <c r="I21" s="266">
        <v>7.35</v>
      </c>
      <c r="J21" s="266">
        <v>15.6</v>
      </c>
      <c r="K21" s="267">
        <f>+IF(ISERR((State1!AH22/Aeration!AC21)),"",(State1!AH22/Aeration!AC21))</f>
      </c>
      <c r="L21" s="262"/>
      <c r="M21" s="262">
        <v>860</v>
      </c>
      <c r="N21" s="263">
        <f t="shared" si="3"/>
      </c>
      <c r="O21" s="264"/>
      <c r="P21" s="265"/>
      <c r="Q21" s="266">
        <v>2</v>
      </c>
      <c r="R21" s="266">
        <v>7.35</v>
      </c>
      <c r="S21" s="266">
        <v>13.7</v>
      </c>
      <c r="T21" s="267">
        <f>+IF(ISERR((State1!AQ22/Aeration!AL21)),"",(State1!AQ22/Aeration!AL21))</f>
      </c>
      <c r="U21" s="269"/>
      <c r="V21" s="264"/>
      <c r="W21" s="265"/>
      <c r="X21" s="266"/>
      <c r="Y21" s="266"/>
      <c r="Z21" s="268"/>
      <c r="AB21" s="261">
        <f t="shared" si="0"/>
        <v>0</v>
      </c>
      <c r="AC21" s="261">
        <f t="shared" si="1"/>
      </c>
      <c r="AE21" s="268" t="e">
        <f>+IF(#REF!=0,"",#REF!)</f>
        <v>#REF!</v>
      </c>
    </row>
    <row r="22" spans="1:31" ht="21.75" customHeight="1" thickBot="1">
      <c r="A22" s="216">
        <v>16</v>
      </c>
      <c r="B22" s="262">
        <v>3380</v>
      </c>
      <c r="C22" s="262"/>
      <c r="D22" s="262">
        <v>820</v>
      </c>
      <c r="E22" s="254">
        <f t="shared" si="2"/>
        <v>242.60355029585799</v>
      </c>
      <c r="F22" s="264"/>
      <c r="G22" s="265"/>
      <c r="H22" s="266">
        <v>0.2</v>
      </c>
      <c r="I22" s="266">
        <v>7.4</v>
      </c>
      <c r="J22" s="266">
        <v>16.1</v>
      </c>
      <c r="K22" s="267">
        <f>+IF(ISERR((State1!AH23/Aeration!AC22)),"",(State1!AH23/Aeration!AC22))</f>
      </c>
      <c r="L22" s="262">
        <v>3782</v>
      </c>
      <c r="M22" s="262">
        <v>870</v>
      </c>
      <c r="N22" s="263">
        <f t="shared" si="3"/>
        <v>230.03701745108407</v>
      </c>
      <c r="O22" s="264"/>
      <c r="P22" s="265"/>
      <c r="Q22" s="266">
        <v>1.6</v>
      </c>
      <c r="R22" s="266">
        <v>7.38</v>
      </c>
      <c r="S22" s="266">
        <v>14.2</v>
      </c>
      <c r="T22" s="267">
        <f>+IF(ISERR((State1!AQ23/Aeration!AL22)),"",(State1!AQ23/Aeration!AL22))</f>
      </c>
      <c r="U22" s="269"/>
      <c r="V22" s="264"/>
      <c r="W22" s="265"/>
      <c r="X22" s="266"/>
      <c r="Y22" s="266"/>
      <c r="Z22" s="268"/>
      <c r="AB22" s="261">
        <f t="shared" si="0"/>
        <v>14094.6</v>
      </c>
      <c r="AC22" s="261">
        <f t="shared" si="1"/>
      </c>
      <c r="AE22" s="268" t="e">
        <f>+IF(#REF!=0,"",#REF!)</f>
        <v>#REF!</v>
      </c>
    </row>
    <row r="23" spans="1:31" ht="21.75" customHeight="1" thickBot="1">
      <c r="A23" s="216">
        <v>17</v>
      </c>
      <c r="B23" s="262">
        <v>3716</v>
      </c>
      <c r="C23" s="262"/>
      <c r="D23" s="262">
        <v>840</v>
      </c>
      <c r="E23" s="254">
        <f t="shared" si="2"/>
        <v>226.04951560818083</v>
      </c>
      <c r="F23" s="264"/>
      <c r="G23" s="265"/>
      <c r="H23" s="266">
        <v>0.2</v>
      </c>
      <c r="I23" s="266">
        <v>7.3</v>
      </c>
      <c r="J23" s="266">
        <v>16.6</v>
      </c>
      <c r="K23" s="267">
        <f>+IF(ISERR((State1!AH24/Aeration!AC23)),"",(State1!AH24/Aeration!AC23))</f>
      </c>
      <c r="L23" s="262">
        <v>4098</v>
      </c>
      <c r="M23" s="262">
        <v>850</v>
      </c>
      <c r="N23" s="263">
        <f t="shared" si="3"/>
        <v>207.41825280624695</v>
      </c>
      <c r="O23" s="264"/>
      <c r="P23" s="265"/>
      <c r="Q23" s="266">
        <v>1.4</v>
      </c>
      <c r="R23" s="266">
        <v>7.3</v>
      </c>
      <c r="S23" s="266">
        <v>14.5</v>
      </c>
      <c r="T23" s="267">
        <f>+IF(ISERR((State1!AQ24/Aeration!AL23)),"",(State1!AQ24/Aeration!AL23))</f>
      </c>
      <c r="U23" s="269"/>
      <c r="V23" s="264"/>
      <c r="W23" s="265"/>
      <c r="X23" s="266"/>
      <c r="Y23" s="266"/>
      <c r="Z23" s="268"/>
      <c r="AB23" s="261">
        <f t="shared" si="0"/>
        <v>15495.72</v>
      </c>
      <c r="AC23" s="261">
        <f t="shared" si="1"/>
      </c>
      <c r="AE23" s="268" t="e">
        <f>+IF(#REF!=0,"",#REF!)</f>
        <v>#REF!</v>
      </c>
    </row>
    <row r="24" spans="1:31" ht="21.75" customHeight="1" thickBot="1">
      <c r="A24" s="216">
        <v>18</v>
      </c>
      <c r="B24" s="262">
        <v>3874</v>
      </c>
      <c r="C24" s="262"/>
      <c r="D24" s="262">
        <v>900</v>
      </c>
      <c r="E24" s="254">
        <f t="shared" si="2"/>
        <v>232.31801755291687</v>
      </c>
      <c r="F24" s="264"/>
      <c r="G24" s="265"/>
      <c r="H24" s="266">
        <v>0.2</v>
      </c>
      <c r="I24" s="266">
        <v>7.3</v>
      </c>
      <c r="J24" s="266">
        <v>16.5</v>
      </c>
      <c r="K24" s="267">
        <f>+IF(ISERR((State1!AH25/Aeration!AC24)),"",(State1!AH25/Aeration!AC24))</f>
      </c>
      <c r="L24" s="262">
        <v>4152</v>
      </c>
      <c r="M24" s="262">
        <v>870</v>
      </c>
      <c r="N24" s="263">
        <f t="shared" si="3"/>
        <v>209.53757225433526</v>
      </c>
      <c r="O24" s="264"/>
      <c r="P24" s="265"/>
      <c r="Q24" s="266">
        <v>1.5</v>
      </c>
      <c r="R24" s="266">
        <v>7.3</v>
      </c>
      <c r="S24" s="266">
        <v>14.5</v>
      </c>
      <c r="T24" s="267">
        <f>+IF(ISERR((State1!AQ25/Aeration!AL24)),"",(State1!AQ25/Aeration!AL24))</f>
      </c>
      <c r="U24" s="269"/>
      <c r="V24" s="264"/>
      <c r="W24" s="265"/>
      <c r="X24" s="266"/>
      <c r="Y24" s="266"/>
      <c r="Z24" s="268"/>
      <c r="AB24" s="261">
        <f t="shared" si="0"/>
        <v>16154.58</v>
      </c>
      <c r="AC24" s="261">
        <f t="shared" si="1"/>
      </c>
      <c r="AE24" s="268" t="e">
        <f>+IF(#REF!=0,"",#REF!)</f>
        <v>#REF!</v>
      </c>
    </row>
    <row r="25" spans="1:31" ht="21.75" customHeight="1" thickBot="1">
      <c r="A25" s="216">
        <v>19</v>
      </c>
      <c r="B25" s="262"/>
      <c r="C25" s="262"/>
      <c r="D25" s="262">
        <v>910</v>
      </c>
      <c r="E25" s="254">
        <f t="shared" si="2"/>
      </c>
      <c r="F25" s="264"/>
      <c r="G25" s="265"/>
      <c r="H25" s="266">
        <v>0.2</v>
      </c>
      <c r="I25" s="266">
        <v>7.3</v>
      </c>
      <c r="J25" s="266">
        <v>17.1</v>
      </c>
      <c r="K25" s="267">
        <f>+IF(ISERR((State1!AH26/Aeration!AC25)),"",(State1!AH26/Aeration!AC25))</f>
      </c>
      <c r="L25" s="262"/>
      <c r="M25" s="262">
        <v>890</v>
      </c>
      <c r="N25" s="263">
        <f t="shared" si="3"/>
      </c>
      <c r="O25" s="264"/>
      <c r="P25" s="265"/>
      <c r="Q25" s="266">
        <v>1</v>
      </c>
      <c r="R25" s="266">
        <v>7.3</v>
      </c>
      <c r="S25" s="266">
        <v>15.1</v>
      </c>
      <c r="T25" s="267">
        <f>+IF(ISERR((State1!AQ26/Aeration!AL25)),"",(State1!AQ26/Aeration!AL25))</f>
      </c>
      <c r="U25" s="269"/>
      <c r="V25" s="264"/>
      <c r="W25" s="265"/>
      <c r="X25" s="266"/>
      <c r="Y25" s="266"/>
      <c r="Z25" s="268"/>
      <c r="AB25" s="261">
        <f t="shared" si="0"/>
        <v>0</v>
      </c>
      <c r="AC25" s="261">
        <f t="shared" si="1"/>
      </c>
      <c r="AE25" s="268" t="e">
        <f>+IF(#REF!=0,"",#REF!)</f>
        <v>#REF!</v>
      </c>
    </row>
    <row r="26" spans="1:31" ht="21.75" customHeight="1" thickBot="1">
      <c r="A26" s="216">
        <v>20</v>
      </c>
      <c r="B26" s="262"/>
      <c r="C26" s="262"/>
      <c r="D26" s="262">
        <v>880</v>
      </c>
      <c r="E26" s="254">
        <f t="shared" si="2"/>
      </c>
      <c r="F26" s="264"/>
      <c r="G26" s="265"/>
      <c r="H26" s="266">
        <v>0.2</v>
      </c>
      <c r="I26" s="266"/>
      <c r="J26" s="266">
        <v>17.3</v>
      </c>
      <c r="K26" s="267">
        <f>+IF(ISERR((State1!AH27/Aeration!AC26)),"",(State1!AH27/Aeration!AC26))</f>
      </c>
      <c r="L26" s="262"/>
      <c r="M26" s="262">
        <v>900</v>
      </c>
      <c r="N26" s="263">
        <f t="shared" si="3"/>
      </c>
      <c r="O26" s="264"/>
      <c r="P26" s="265"/>
      <c r="Q26" s="266">
        <v>1.5</v>
      </c>
      <c r="R26" s="266"/>
      <c r="S26" s="266">
        <v>15.2</v>
      </c>
      <c r="T26" s="267">
        <f>+IF(ISERR((State1!AQ27/Aeration!AL26)),"",(State1!AQ27/Aeration!AL26))</f>
      </c>
      <c r="U26" s="269"/>
      <c r="V26" s="264"/>
      <c r="W26" s="265"/>
      <c r="X26" s="266"/>
      <c r="Y26" s="266"/>
      <c r="Z26" s="268"/>
      <c r="AB26" s="261">
        <f t="shared" si="0"/>
        <v>0</v>
      </c>
      <c r="AC26" s="261">
        <f t="shared" si="1"/>
      </c>
      <c r="AE26" s="268" t="e">
        <f>+IF(#REF!=0,"",#REF!)</f>
        <v>#REF!</v>
      </c>
    </row>
    <row r="27" spans="1:31" ht="21.75" customHeight="1" thickBot="1">
      <c r="A27" s="216">
        <v>21</v>
      </c>
      <c r="B27" s="262"/>
      <c r="C27" s="262"/>
      <c r="D27" s="262">
        <v>900</v>
      </c>
      <c r="E27" s="254">
        <f t="shared" si="2"/>
      </c>
      <c r="F27" s="264"/>
      <c r="G27" s="265"/>
      <c r="H27" s="266">
        <v>0.2</v>
      </c>
      <c r="I27" s="266"/>
      <c r="J27" s="266">
        <v>16.9</v>
      </c>
      <c r="K27" s="267">
        <f>+IF(ISERR((State1!AH28/Aeration!AC27)),"",(State1!AH28/Aeration!AC27))</f>
      </c>
      <c r="L27" s="262"/>
      <c r="M27" s="262">
        <v>900</v>
      </c>
      <c r="N27" s="263">
        <f t="shared" si="3"/>
      </c>
      <c r="O27" s="264"/>
      <c r="P27" s="265"/>
      <c r="Q27" s="266">
        <v>1.4</v>
      </c>
      <c r="R27" s="266"/>
      <c r="S27" s="266">
        <v>14.8</v>
      </c>
      <c r="T27" s="267">
        <f>+IF(ISERR((State1!AQ28/Aeration!AL27)),"",(State1!AQ28/Aeration!AL27))</f>
      </c>
      <c r="U27" s="269"/>
      <c r="V27" s="264"/>
      <c r="W27" s="265"/>
      <c r="X27" s="266"/>
      <c r="Y27" s="266"/>
      <c r="Z27" s="268"/>
      <c r="AB27" s="261">
        <f t="shared" si="0"/>
        <v>0</v>
      </c>
      <c r="AC27" s="261">
        <f t="shared" si="1"/>
      </c>
      <c r="AE27" s="268" t="e">
        <f>+IF(#REF!=0,"",#REF!)</f>
        <v>#REF!</v>
      </c>
    </row>
    <row r="28" spans="1:31" ht="21.75" customHeight="1" thickBot="1">
      <c r="A28" s="216">
        <v>22</v>
      </c>
      <c r="B28" s="262">
        <v>4806</v>
      </c>
      <c r="C28" s="262"/>
      <c r="D28" s="262">
        <v>930</v>
      </c>
      <c r="E28" s="254">
        <f t="shared" si="2"/>
        <v>193.50811485642947</v>
      </c>
      <c r="F28" s="264"/>
      <c r="G28" s="265"/>
      <c r="H28" s="266">
        <v>0.2</v>
      </c>
      <c r="I28" s="266">
        <v>7.4</v>
      </c>
      <c r="J28" s="266">
        <v>16.1</v>
      </c>
      <c r="K28" s="267">
        <f>+IF(ISERR((State1!AH29/Aeration!AC28)),"",(State1!AH29/Aeration!AC28))</f>
      </c>
      <c r="L28" s="262">
        <v>4882</v>
      </c>
      <c r="M28" s="262">
        <v>940</v>
      </c>
      <c r="N28" s="263">
        <f t="shared" si="3"/>
        <v>192.5440393281442</v>
      </c>
      <c r="O28" s="264"/>
      <c r="P28" s="265"/>
      <c r="Q28" s="266">
        <v>1.4</v>
      </c>
      <c r="R28" s="266">
        <v>7.4</v>
      </c>
      <c r="S28" s="266">
        <v>14.1</v>
      </c>
      <c r="T28" s="267">
        <f>+IF(ISERR((State1!AQ29/Aeration!AL28)),"",(State1!AQ29/Aeration!AL28))</f>
      </c>
      <c r="U28" s="269"/>
      <c r="V28" s="264"/>
      <c r="W28" s="265"/>
      <c r="X28" s="266"/>
      <c r="Y28" s="266"/>
      <c r="Z28" s="268"/>
      <c r="AB28" s="261">
        <f t="shared" si="0"/>
        <v>20041.02</v>
      </c>
      <c r="AC28" s="261">
        <f t="shared" si="1"/>
      </c>
      <c r="AE28" s="268" t="e">
        <f>+IF(#REF!=0,"",#REF!)</f>
        <v>#REF!</v>
      </c>
    </row>
    <row r="29" spans="1:31" ht="21.75" customHeight="1" thickBot="1">
      <c r="A29" s="216">
        <v>23</v>
      </c>
      <c r="B29" s="262">
        <v>4792</v>
      </c>
      <c r="C29" s="262"/>
      <c r="D29" s="262">
        <v>980</v>
      </c>
      <c r="E29" s="254">
        <f t="shared" si="2"/>
        <v>204.50751252086812</v>
      </c>
      <c r="F29" s="264"/>
      <c r="G29" s="265"/>
      <c r="H29" s="266">
        <v>0.2</v>
      </c>
      <c r="I29" s="266">
        <v>7.4</v>
      </c>
      <c r="J29" s="266">
        <v>16.1</v>
      </c>
      <c r="K29" s="267">
        <f>+IF(ISERR((State1!AH30/Aeration!AC29)),"",(State1!AH30/Aeration!AC29))</f>
      </c>
      <c r="L29" s="262">
        <v>5272</v>
      </c>
      <c r="M29" s="262">
        <v>960</v>
      </c>
      <c r="N29" s="263">
        <f t="shared" si="3"/>
        <v>182.09408194233689</v>
      </c>
      <c r="O29" s="264"/>
      <c r="P29" s="265"/>
      <c r="Q29" s="266">
        <v>1.3</v>
      </c>
      <c r="R29" s="266">
        <v>7.4</v>
      </c>
      <c r="S29" s="266">
        <v>14.1</v>
      </c>
      <c r="T29" s="267">
        <f>+IF(ISERR((State1!AQ30/Aeration!AL29)),"",(State1!AQ30/Aeration!AL29))</f>
      </c>
      <c r="U29" s="269"/>
      <c r="V29" s="264"/>
      <c r="W29" s="265"/>
      <c r="X29" s="266"/>
      <c r="Y29" s="266"/>
      <c r="Z29" s="268"/>
      <c r="AB29" s="261">
        <f t="shared" si="0"/>
        <v>19982.64</v>
      </c>
      <c r="AC29" s="261">
        <f t="shared" si="1"/>
      </c>
      <c r="AE29" s="268" t="e">
        <f>+IF(#REF!=0,"",#REF!)</f>
        <v>#REF!</v>
      </c>
    </row>
    <row r="30" spans="1:31" ht="21.75" customHeight="1" thickBot="1">
      <c r="A30" s="216">
        <v>24</v>
      </c>
      <c r="B30" s="262">
        <v>3612</v>
      </c>
      <c r="C30" s="262"/>
      <c r="D30" s="262">
        <v>880</v>
      </c>
      <c r="E30" s="254">
        <f t="shared" si="2"/>
        <v>243.63233665559247</v>
      </c>
      <c r="F30" s="264"/>
      <c r="G30" s="265"/>
      <c r="H30" s="266">
        <v>0.2</v>
      </c>
      <c r="I30" s="266">
        <v>7.3</v>
      </c>
      <c r="J30" s="266">
        <v>16.6</v>
      </c>
      <c r="K30" s="267">
        <f>+IF(ISERR((State1!AH31/Aeration!AC30)),"",(State1!AH31/Aeration!AC30))</f>
      </c>
      <c r="L30" s="262">
        <v>3434</v>
      </c>
      <c r="M30" s="262">
        <v>820</v>
      </c>
      <c r="N30" s="263">
        <f t="shared" si="3"/>
        <v>238.78858474082702</v>
      </c>
      <c r="O30" s="264"/>
      <c r="P30" s="265"/>
      <c r="Q30" s="266">
        <v>1</v>
      </c>
      <c r="R30" s="266">
        <v>7.3</v>
      </c>
      <c r="S30" s="266">
        <v>14.5</v>
      </c>
      <c r="T30" s="267">
        <f>+IF(ISERR((State1!AQ31/Aeration!AL30)),"",(State1!AQ31/Aeration!AL30))</f>
      </c>
      <c r="U30" s="269"/>
      <c r="V30" s="264"/>
      <c r="W30" s="265"/>
      <c r="X30" s="266"/>
      <c r="Y30" s="266"/>
      <c r="Z30" s="268"/>
      <c r="AB30" s="261">
        <f t="shared" si="0"/>
        <v>15062.039999999999</v>
      </c>
      <c r="AC30" s="261">
        <f t="shared" si="1"/>
      </c>
      <c r="AE30" s="268" t="e">
        <f>+IF(#REF!=0,"",#REF!)</f>
        <v>#REF!</v>
      </c>
    </row>
    <row r="31" spans="1:31" ht="21.75" customHeight="1" thickBot="1">
      <c r="A31" s="216">
        <v>25</v>
      </c>
      <c r="B31" s="262"/>
      <c r="C31" s="262"/>
      <c r="D31" s="262">
        <v>800</v>
      </c>
      <c r="E31" s="254">
        <f t="shared" si="2"/>
      </c>
      <c r="F31" s="264"/>
      <c r="G31" s="265"/>
      <c r="H31" s="266">
        <v>0.2</v>
      </c>
      <c r="I31" s="266">
        <v>7.4</v>
      </c>
      <c r="J31" s="266">
        <v>16.6</v>
      </c>
      <c r="K31" s="267">
        <f>+IF(ISERR((State1!AH32/Aeration!AC31)),"",(State1!AH32/Aeration!AC31))</f>
      </c>
      <c r="L31" s="262"/>
      <c r="M31" s="262">
        <v>850</v>
      </c>
      <c r="N31" s="263">
        <f t="shared" si="3"/>
      </c>
      <c r="O31" s="264"/>
      <c r="P31" s="265"/>
      <c r="Q31" s="266">
        <v>1.5</v>
      </c>
      <c r="R31" s="266">
        <v>7.4</v>
      </c>
      <c r="S31" s="266">
        <v>14.5</v>
      </c>
      <c r="T31" s="267">
        <f>+IF(ISERR((State1!AQ32/Aeration!AL31)),"",(State1!AQ32/Aeration!AL31))</f>
      </c>
      <c r="U31" s="269"/>
      <c r="V31" s="264"/>
      <c r="W31" s="265"/>
      <c r="X31" s="266"/>
      <c r="Y31" s="266"/>
      <c r="Z31" s="268"/>
      <c r="AB31" s="261">
        <f t="shared" si="0"/>
        <v>0</v>
      </c>
      <c r="AC31" s="261">
        <f t="shared" si="1"/>
      </c>
      <c r="AE31" s="268" t="e">
        <f>+IF(#REF!=0,"",#REF!)</f>
        <v>#REF!</v>
      </c>
    </row>
    <row r="32" spans="1:31" ht="21.75" customHeight="1" thickBot="1">
      <c r="A32" s="216">
        <v>26</v>
      </c>
      <c r="B32" s="262"/>
      <c r="C32" s="262"/>
      <c r="D32" s="262">
        <v>850</v>
      </c>
      <c r="E32" s="254">
        <f t="shared" si="2"/>
      </c>
      <c r="F32" s="264"/>
      <c r="G32" s="265"/>
      <c r="H32" s="266">
        <v>0.2</v>
      </c>
      <c r="I32" s="266">
        <v>7.4</v>
      </c>
      <c r="J32" s="266">
        <v>16.9</v>
      </c>
      <c r="K32" s="267">
        <f>+IF(ISERR((State1!AH33/Aeration!AC32)),"",(State1!AH33/Aeration!AC32))</f>
      </c>
      <c r="L32" s="262"/>
      <c r="M32" s="262">
        <v>830</v>
      </c>
      <c r="N32" s="263">
        <f t="shared" si="3"/>
      </c>
      <c r="O32" s="264"/>
      <c r="P32" s="265"/>
      <c r="Q32" s="266">
        <v>1.3</v>
      </c>
      <c r="R32" s="266">
        <v>7.4</v>
      </c>
      <c r="S32" s="266">
        <v>14.9</v>
      </c>
      <c r="T32" s="267">
        <f>+IF(ISERR((State1!AQ33/Aeration!AL32)),"",(State1!AQ33/Aeration!AL32))</f>
      </c>
      <c r="U32" s="269"/>
      <c r="V32" s="264"/>
      <c r="W32" s="265"/>
      <c r="X32" s="266"/>
      <c r="Y32" s="266"/>
      <c r="Z32" s="268"/>
      <c r="AB32" s="261">
        <f t="shared" si="0"/>
        <v>0</v>
      </c>
      <c r="AC32" s="261">
        <f t="shared" si="1"/>
      </c>
      <c r="AE32" s="268" t="e">
        <f>+IF(#REF!=0,"",#REF!)</f>
        <v>#REF!</v>
      </c>
    </row>
    <row r="33" spans="1:31" ht="21.75" customHeight="1" thickBot="1">
      <c r="A33" s="216">
        <v>27</v>
      </c>
      <c r="B33" s="262"/>
      <c r="C33" s="262"/>
      <c r="D33" s="262">
        <v>800</v>
      </c>
      <c r="E33" s="254">
        <f t="shared" si="2"/>
      </c>
      <c r="F33" s="264"/>
      <c r="G33" s="265"/>
      <c r="H33" s="266">
        <v>0.2</v>
      </c>
      <c r="I33" s="266"/>
      <c r="J33" s="266">
        <v>16.8</v>
      </c>
      <c r="K33" s="267">
        <f>+IF(ISERR((State1!AH34/Aeration!AC33)),"",(State1!AH34/Aeration!AC33))</f>
      </c>
      <c r="L33" s="262"/>
      <c r="M33" s="262">
        <v>810</v>
      </c>
      <c r="N33" s="263">
        <f t="shared" si="3"/>
      </c>
      <c r="O33" s="264"/>
      <c r="P33" s="265"/>
      <c r="Q33" s="266">
        <v>1.2</v>
      </c>
      <c r="R33" s="266"/>
      <c r="S33" s="266">
        <v>14.7</v>
      </c>
      <c r="T33" s="267">
        <f>+IF(ISERR((State1!AQ34/Aeration!AL33)),"",(State1!AQ34/Aeration!AL33))</f>
      </c>
      <c r="U33" s="269"/>
      <c r="V33" s="264"/>
      <c r="W33" s="265"/>
      <c r="X33" s="266"/>
      <c r="Y33" s="266"/>
      <c r="Z33" s="268"/>
      <c r="AB33" s="261">
        <f t="shared" si="0"/>
        <v>0</v>
      </c>
      <c r="AC33" s="261">
        <f t="shared" si="1"/>
      </c>
      <c r="AE33" s="268" t="e">
        <f>+IF(#REF!=0,"",#REF!)</f>
        <v>#REF!</v>
      </c>
    </row>
    <row r="34" spans="1:31" ht="21.75" customHeight="1" thickBot="1">
      <c r="A34" s="216">
        <v>28</v>
      </c>
      <c r="B34" s="262"/>
      <c r="C34" s="262"/>
      <c r="D34" s="262">
        <v>790</v>
      </c>
      <c r="E34" s="254">
        <f t="shared" si="2"/>
      </c>
      <c r="F34" s="264"/>
      <c r="G34" s="265"/>
      <c r="H34" s="266">
        <v>0.2</v>
      </c>
      <c r="I34" s="266"/>
      <c r="J34" s="266">
        <v>17</v>
      </c>
      <c r="K34" s="267">
        <f>+IF(ISERR((State1!AH35/Aeration!AC34)),"",(State1!AH35/Aeration!AC34))</f>
      </c>
      <c r="L34" s="262"/>
      <c r="M34" s="262">
        <v>810</v>
      </c>
      <c r="N34" s="263">
        <f>IF(ISERR(M34*1000/L34),"",(M34*1000/L34))</f>
      </c>
      <c r="O34" s="264"/>
      <c r="P34" s="265"/>
      <c r="Q34" s="266">
        <v>1.2</v>
      </c>
      <c r="R34" s="266"/>
      <c r="S34" s="266">
        <v>15</v>
      </c>
      <c r="T34" s="267">
        <f>+IF(ISERR((State1!AQ35/Aeration!AL34)),"",(State1!AQ35/Aeration!AL34))</f>
      </c>
      <c r="U34" s="269"/>
      <c r="V34" s="264"/>
      <c r="W34" s="265"/>
      <c r="X34" s="266"/>
      <c r="Y34" s="266"/>
      <c r="Z34" s="268"/>
      <c r="AB34" s="261">
        <f t="shared" si="0"/>
        <v>0</v>
      </c>
      <c r="AC34" s="261">
        <f t="shared" si="1"/>
      </c>
      <c r="AE34" s="268" t="e">
        <f>+IF(#REF!=0,"",#REF!)</f>
        <v>#REF!</v>
      </c>
    </row>
    <row r="35" spans="1:31" ht="21.75" customHeight="1" thickBot="1">
      <c r="A35" s="216">
        <v>29</v>
      </c>
      <c r="B35" s="262">
        <v>3562</v>
      </c>
      <c r="C35" s="262"/>
      <c r="D35" s="262">
        <v>830</v>
      </c>
      <c r="E35" s="254">
        <f t="shared" si="2"/>
        <v>233.0151600224593</v>
      </c>
      <c r="F35" s="264"/>
      <c r="G35" s="265"/>
      <c r="H35" s="266">
        <v>0.2</v>
      </c>
      <c r="I35" s="266">
        <v>7.4</v>
      </c>
      <c r="J35" s="266">
        <v>17.4</v>
      </c>
      <c r="K35" s="267">
        <f>+IF(ISERR((State1!AH36/Aeration!AC35)),"",(State1!AH36/Aeration!AC35))</f>
      </c>
      <c r="L35" s="262">
        <v>3860</v>
      </c>
      <c r="M35" s="262">
        <v>880</v>
      </c>
      <c r="N35" s="263">
        <f>IF(ISERR(M35*1000/L35),"",(M35*1000/L35))</f>
        <v>227.97927461139898</v>
      </c>
      <c r="O35" s="264"/>
      <c r="P35" s="265"/>
      <c r="Q35" s="266">
        <v>1.3</v>
      </c>
      <c r="R35" s="266">
        <v>7.4</v>
      </c>
      <c r="S35" s="266">
        <v>15.5</v>
      </c>
      <c r="T35" s="267">
        <f>+IF(ISERR((State1!AQ36/Aeration!AL35)),"",(State1!AQ36/Aeration!AL35))</f>
      </c>
      <c r="U35" s="269"/>
      <c r="V35" s="264"/>
      <c r="W35" s="265"/>
      <c r="X35" s="266"/>
      <c r="Y35" s="266"/>
      <c r="Z35" s="268"/>
      <c r="AB35" s="261">
        <f t="shared" si="0"/>
        <v>14853.539999999999</v>
      </c>
      <c r="AC35" s="261">
        <f t="shared" si="1"/>
      </c>
      <c r="AE35" s="268" t="e">
        <f>+IF(#REF!=0,"",#REF!)</f>
        <v>#REF!</v>
      </c>
    </row>
    <row r="36" spans="1:31" ht="21.75" customHeight="1" thickBot="1">
      <c r="A36" s="216">
        <v>30</v>
      </c>
      <c r="B36" s="262">
        <v>3476</v>
      </c>
      <c r="C36" s="262"/>
      <c r="D36" s="262">
        <v>880</v>
      </c>
      <c r="E36" s="254">
        <f t="shared" si="2"/>
        <v>253.16455696202533</v>
      </c>
      <c r="F36" s="264"/>
      <c r="G36" s="265"/>
      <c r="H36" s="266">
        <v>0.3</v>
      </c>
      <c r="I36" s="266">
        <v>7.3</v>
      </c>
      <c r="J36" s="266">
        <v>18</v>
      </c>
      <c r="K36" s="267">
        <f>+IF(ISERR((State1!AH37/Aeration!AC36)),"",(State1!AH37/Aeration!AC36))</f>
      </c>
      <c r="L36" s="262">
        <v>3676</v>
      </c>
      <c r="M36" s="262">
        <v>860</v>
      </c>
      <c r="N36" s="263">
        <f>IF(ISERR(M36*1000/L36),"",(M36*1000/L36))</f>
        <v>233.94994559303592</v>
      </c>
      <c r="O36" s="264"/>
      <c r="P36" s="265"/>
      <c r="Q36" s="266">
        <v>1.4</v>
      </c>
      <c r="R36" s="266">
        <v>7.3</v>
      </c>
      <c r="S36" s="266">
        <v>15.9</v>
      </c>
      <c r="T36" s="267">
        <f>+IF(ISERR((State1!AQ37/Aeration!AL36)),"",(State1!AQ37/Aeration!AL36))</f>
      </c>
      <c r="U36" s="269"/>
      <c r="V36" s="264"/>
      <c r="W36" s="265"/>
      <c r="X36" s="266"/>
      <c r="Y36" s="266"/>
      <c r="Z36" s="268"/>
      <c r="AB36" s="261">
        <f t="shared" si="0"/>
        <v>14494.92</v>
      </c>
      <c r="AC36" s="261">
        <f t="shared" si="1"/>
      </c>
      <c r="AE36" s="268" t="e">
        <f>+IF(#REF!=0,"",#REF!)</f>
        <v>#REF!</v>
      </c>
    </row>
    <row r="37" spans="1:31" ht="21.75" customHeight="1" thickBot="1">
      <c r="A37" s="186"/>
      <c r="B37" s="262"/>
      <c r="C37" s="284"/>
      <c r="D37" s="284"/>
      <c r="E37" s="254">
        <f t="shared" si="2"/>
      </c>
      <c r="F37" s="286"/>
      <c r="G37" s="287"/>
      <c r="H37" s="288"/>
      <c r="I37" s="288"/>
      <c r="J37" s="288"/>
      <c r="K37" s="289">
        <f>+IF(ISERR((State1!AH38/Aeration!AC37)),"",(State1!AH38/Aeration!AC37))</f>
      </c>
      <c r="L37" s="284"/>
      <c r="M37" s="284"/>
      <c r="N37" s="285">
        <f>IF(ISERR(M37*1000/L37),"",(M37*1000/L37))</f>
      </c>
      <c r="O37" s="286"/>
      <c r="P37" s="287"/>
      <c r="Q37" s="288"/>
      <c r="R37" s="288"/>
      <c r="S37" s="288"/>
      <c r="T37" s="289"/>
      <c r="U37" s="291"/>
      <c r="V37" s="286"/>
      <c r="W37" s="287"/>
      <c r="X37" s="288"/>
      <c r="Y37" s="288"/>
      <c r="Z37" s="290"/>
      <c r="AB37" s="261">
        <f t="shared" si="0"/>
        <v>0</v>
      </c>
      <c r="AC37" s="261">
        <f t="shared" si="1"/>
      </c>
      <c r="AE37" s="290" t="e">
        <f>+IF(#REF!=0,"",#REF!)</f>
        <v>#REF!</v>
      </c>
    </row>
    <row r="38" spans="1:31" ht="21.75" customHeight="1">
      <c r="A38" s="217" t="s">
        <v>18</v>
      </c>
      <c r="B38" s="254">
        <f>SUM(B7:B37)</f>
        <v>54416</v>
      </c>
      <c r="C38" s="254">
        <f>SUM(C7:C37)</f>
        <v>0</v>
      </c>
      <c r="D38" s="254">
        <f>SUM(D7:D37)</f>
        <v>26175</v>
      </c>
      <c r="E38" s="254">
        <f>SUM(E7:E37)</f>
        <v>1828.7987644743305</v>
      </c>
      <c r="F38" s="292"/>
      <c r="G38" s="292"/>
      <c r="H38" s="293">
        <f>SUM(H7:H37)</f>
        <v>8.800000000000002</v>
      </c>
      <c r="I38" s="293">
        <f>SUM(I7:I37)</f>
        <v>161.41000000000003</v>
      </c>
      <c r="J38" s="293">
        <f>SUM(J7:J37)</f>
        <v>481.20000000000005</v>
      </c>
      <c r="K38" s="258"/>
      <c r="L38" s="254">
        <f aca="true" t="shared" si="4" ref="L38:S38">SUM(L7:L37)</f>
        <v>57271</v>
      </c>
      <c r="M38" s="254">
        <f t="shared" si="4"/>
        <v>26470</v>
      </c>
      <c r="N38" s="254">
        <f t="shared" si="4"/>
        <v>1722.3487687274092</v>
      </c>
      <c r="O38" s="292"/>
      <c r="P38" s="292"/>
      <c r="Q38" s="293">
        <f t="shared" si="4"/>
        <v>41.49999999999999</v>
      </c>
      <c r="R38" s="293">
        <f t="shared" si="4"/>
        <v>161.39000000000001</v>
      </c>
      <c r="S38" s="293">
        <f t="shared" si="4"/>
        <v>420.8</v>
      </c>
      <c r="T38" s="258"/>
      <c r="U38" s="300"/>
      <c r="V38" s="294"/>
      <c r="W38" s="295"/>
      <c r="X38" s="293"/>
      <c r="Y38" s="293"/>
      <c r="Z38" s="297"/>
      <c r="AB38" s="429">
        <f>SUM(AB7:AB37)</f>
        <v>226914.72</v>
      </c>
      <c r="AC38" s="297">
        <f>SUM(AC7:AC37)</f>
        <v>0</v>
      </c>
      <c r="AE38" s="283">
        <f>+IF(ISERR(#REF!),"",(#REF!))</f>
      </c>
    </row>
    <row r="39" spans="1:31" ht="21.75" customHeight="1">
      <c r="A39" s="219" t="s">
        <v>37</v>
      </c>
      <c r="B39" s="275">
        <f aca="true" t="shared" si="5" ref="B39:J39">AVERAGE(B7:B37)</f>
        <v>3886.8571428571427</v>
      </c>
      <c r="C39" s="275" t="e">
        <f t="shared" si="5"/>
        <v>#DIV/0!</v>
      </c>
      <c r="D39" s="275">
        <f>AVERAGE(D7:D37)</f>
        <v>872.5</v>
      </c>
      <c r="E39" s="275">
        <f t="shared" si="5"/>
        <v>228.5998455592913</v>
      </c>
      <c r="F39" s="277"/>
      <c r="G39" s="277"/>
      <c r="H39" s="278">
        <f t="shared" si="5"/>
        <v>0.2933333333333334</v>
      </c>
      <c r="I39" s="278">
        <f t="shared" si="5"/>
        <v>7.336818181818183</v>
      </c>
      <c r="J39" s="278">
        <f t="shared" si="5"/>
        <v>16.040000000000003</v>
      </c>
      <c r="K39" s="279"/>
      <c r="L39" s="275">
        <f aca="true" t="shared" si="6" ref="L39:S39">AVERAGE(L7:L37)</f>
        <v>4090.785714285714</v>
      </c>
      <c r="M39" s="275">
        <f t="shared" si="6"/>
        <v>882.3333333333334</v>
      </c>
      <c r="N39" s="275">
        <f t="shared" si="6"/>
        <v>215.29359609092614</v>
      </c>
      <c r="O39" s="277"/>
      <c r="P39" s="277"/>
      <c r="Q39" s="278">
        <f t="shared" si="6"/>
        <v>1.383333333333333</v>
      </c>
      <c r="R39" s="278">
        <f t="shared" si="6"/>
        <v>7.335909090909092</v>
      </c>
      <c r="S39" s="278">
        <f t="shared" si="6"/>
        <v>14.026666666666667</v>
      </c>
      <c r="T39" s="279"/>
      <c r="U39" s="275"/>
      <c r="V39" s="276"/>
      <c r="W39" s="276"/>
      <c r="X39" s="278"/>
      <c r="Y39" s="278"/>
      <c r="Z39" s="278"/>
      <c r="AB39" s="275">
        <f>AVERAGE(AB7:AB37)</f>
        <v>7319.829677419355</v>
      </c>
      <c r="AC39" s="278" t="e">
        <f>AVERAGE(AC7:AC37)</f>
        <v>#DIV/0!</v>
      </c>
      <c r="AE39" s="283">
        <f>+IF(ISERR(#REF!),"",(#REF!))</f>
      </c>
    </row>
    <row r="40" spans="1:31" ht="21.75" customHeight="1">
      <c r="A40" s="216" t="s">
        <v>38</v>
      </c>
      <c r="B40" s="263">
        <f>MAXA(B7:B37)</f>
        <v>4806</v>
      </c>
      <c r="C40" s="263">
        <f aca="true" t="shared" si="7" ref="C40:J40">MAXA(C7:C37)</f>
        <v>0</v>
      </c>
      <c r="D40" s="263">
        <f>MAXA(D7:D37)</f>
        <v>980</v>
      </c>
      <c r="E40" s="263">
        <f t="shared" si="7"/>
        <v>253.16455696202533</v>
      </c>
      <c r="F40" s="280"/>
      <c r="G40" s="281"/>
      <c r="H40" s="282">
        <f t="shared" si="7"/>
        <v>1.4</v>
      </c>
      <c r="I40" s="282">
        <f t="shared" si="7"/>
        <v>7.4</v>
      </c>
      <c r="J40" s="282">
        <f t="shared" si="7"/>
        <v>18</v>
      </c>
      <c r="K40" s="267"/>
      <c r="L40" s="263">
        <f>MAXA(L7:L37)</f>
        <v>5272</v>
      </c>
      <c r="M40" s="263">
        <f aca="true" t="shared" si="8" ref="M40:S40">MAXA(M7:M37)</f>
        <v>960</v>
      </c>
      <c r="N40" s="263">
        <f t="shared" si="8"/>
        <v>238.78858474082702</v>
      </c>
      <c r="O40" s="280"/>
      <c r="P40" s="281"/>
      <c r="Q40" s="282">
        <f t="shared" si="8"/>
        <v>2</v>
      </c>
      <c r="R40" s="282">
        <f t="shared" si="8"/>
        <v>7.4</v>
      </c>
      <c r="S40" s="282">
        <f t="shared" si="8"/>
        <v>15.9</v>
      </c>
      <c r="T40" s="267"/>
      <c r="U40" s="301"/>
      <c r="V40" s="280"/>
      <c r="W40" s="281"/>
      <c r="X40" s="282"/>
      <c r="Y40" s="282"/>
      <c r="Z40" s="298"/>
      <c r="AB40" s="430">
        <f>MAXA(AB7:AB37)</f>
        <v>20041.02</v>
      </c>
      <c r="AC40" s="298">
        <f>MAXA(AC7:AC37)</f>
        <v>0</v>
      </c>
      <c r="AE40" s="283">
        <f>+IF(ISERR(#REF!),"",(#REF!))</f>
      </c>
    </row>
    <row r="41" spans="1:31" ht="21.75" customHeight="1" thickBot="1">
      <c r="A41" s="218" t="s">
        <v>39</v>
      </c>
      <c r="B41" s="270">
        <f aca="true" t="shared" si="9" ref="B41:J41">MIN(B7:B37)</f>
        <v>3380</v>
      </c>
      <c r="C41" s="270">
        <f t="shared" si="9"/>
        <v>0</v>
      </c>
      <c r="D41" s="270">
        <f>MIN(D7:D37)</f>
        <v>790</v>
      </c>
      <c r="E41" s="270">
        <f t="shared" si="9"/>
        <v>193.50811485642947</v>
      </c>
      <c r="F41" s="273"/>
      <c r="G41" s="274"/>
      <c r="H41" s="271">
        <f t="shared" si="9"/>
        <v>0.2</v>
      </c>
      <c r="I41" s="271">
        <f t="shared" si="9"/>
        <v>7.2</v>
      </c>
      <c r="J41" s="271">
        <f t="shared" si="9"/>
        <v>14.4</v>
      </c>
      <c r="K41" s="272"/>
      <c r="L41" s="270">
        <f aca="true" t="shared" si="10" ref="L41:S41">MIN(L7:L37)</f>
        <v>3428</v>
      </c>
      <c r="M41" s="270">
        <f t="shared" si="10"/>
        <v>810</v>
      </c>
      <c r="N41" s="270">
        <f t="shared" si="10"/>
        <v>182.09408194233689</v>
      </c>
      <c r="O41" s="273"/>
      <c r="P41" s="274"/>
      <c r="Q41" s="271">
        <f t="shared" si="10"/>
        <v>0.8</v>
      </c>
      <c r="R41" s="271">
        <f t="shared" si="10"/>
        <v>7.2</v>
      </c>
      <c r="S41" s="271">
        <f t="shared" si="10"/>
        <v>12.4</v>
      </c>
      <c r="T41" s="272"/>
      <c r="U41" s="302"/>
      <c r="V41" s="273"/>
      <c r="W41" s="274"/>
      <c r="X41" s="271"/>
      <c r="Y41" s="271"/>
      <c r="Z41" s="299"/>
      <c r="AB41" s="431">
        <f>MIN(AB7:AB37)</f>
        <v>0</v>
      </c>
      <c r="AC41" s="299">
        <f>MIN(AC7:AC37)</f>
        <v>0</v>
      </c>
      <c r="AE41" s="283">
        <f>+IF(ISERR(#REF!),"",(#REF!))</f>
      </c>
    </row>
  </sheetData>
  <sheetProtection/>
  <mergeCells count="5">
    <mergeCell ref="AB1:AC5"/>
    <mergeCell ref="B2:K3"/>
    <mergeCell ref="U2:Z3"/>
    <mergeCell ref="A1:Z1"/>
    <mergeCell ref="L2:T3"/>
  </mergeCells>
  <printOptions horizontalCentered="1" verticalCentered="1"/>
  <pageMargins left="0.25" right="0" top="0.5" bottom="0" header="0" footer="0"/>
  <pageSetup fitToHeight="1" fitToWidth="1" horizontalDpi="300" verticalDpi="300" orientation="landscape" paperSize="5" scale="50" r:id="rId1"/>
  <headerFooter alignWithMargins="0">
    <oddHeader>&amp;C&amp;"Arial,Bold"&amp;18City of MayndardvilleWWTP
Permit # TN0022870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44"/>
  <sheetViews>
    <sheetView zoomScale="75" zoomScaleNormal="75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8" sqref="A38"/>
    </sheetView>
  </sheetViews>
  <sheetFormatPr defaultColWidth="9.140625" defaultRowHeight="21.75" customHeight="1"/>
  <cols>
    <col min="1" max="1" width="10.421875" style="220" customWidth="1"/>
    <col min="2" max="4" width="11.140625" style="220" customWidth="1"/>
    <col min="5" max="5" width="14.8515625" style="220" customWidth="1"/>
    <col min="6" max="6" width="14.140625" style="220" bestFit="1" customWidth="1"/>
    <col min="7" max="7" width="13.140625" style="220" customWidth="1"/>
    <col min="8" max="8" width="10.28125" style="220" customWidth="1"/>
    <col min="9" max="9" width="15.28125" style="220" customWidth="1"/>
    <col min="10" max="10" width="10.421875" style="220" customWidth="1"/>
    <col min="11" max="11" width="10.8515625" style="220" customWidth="1"/>
    <col min="12" max="12" width="11.421875" style="220" customWidth="1"/>
    <col min="13" max="13" width="11.57421875" style="220" customWidth="1"/>
    <col min="14" max="14" width="13.8515625" style="220" customWidth="1"/>
    <col min="15" max="15" width="11.57421875" style="220" customWidth="1"/>
    <col min="16" max="16" width="13.8515625" style="220" bestFit="1" customWidth="1"/>
    <col min="17" max="17" width="15.140625" style="220" customWidth="1"/>
    <col min="18" max="16384" width="9.140625" style="220" customWidth="1"/>
  </cols>
  <sheetData>
    <row r="1" spans="1:17" ht="24" customHeight="1">
      <c r="A1" s="575" t="str">
        <f>+State1!A1</f>
        <v>Maynardville Wastewater Treatment Plant M.O.R. / APRIL 2024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7"/>
    </row>
    <row r="2" spans="1:17" ht="18.75" customHeight="1">
      <c r="A2" s="572" t="s">
        <v>502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4"/>
    </row>
    <row r="3" spans="1:17" ht="15" customHeight="1">
      <c r="A3" s="248"/>
      <c r="B3" s="578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80"/>
    </row>
    <row r="4" spans="1:17" ht="15" customHeight="1">
      <c r="A4" s="16" t="s">
        <v>3</v>
      </c>
      <c r="B4" s="568" t="s">
        <v>47</v>
      </c>
      <c r="C4" s="569"/>
      <c r="D4" s="581" t="s">
        <v>1</v>
      </c>
      <c r="E4" s="582"/>
      <c r="F4" s="585" t="s">
        <v>51</v>
      </c>
      <c r="G4" s="569"/>
      <c r="H4" s="585" t="s">
        <v>52</v>
      </c>
      <c r="I4" s="569"/>
      <c r="J4" s="568" t="s">
        <v>53</v>
      </c>
      <c r="K4" s="569"/>
      <c r="L4" s="568" t="s">
        <v>48</v>
      </c>
      <c r="M4" s="569"/>
      <c r="N4" s="585" t="s">
        <v>504</v>
      </c>
      <c r="O4" s="569"/>
      <c r="P4" s="568" t="s">
        <v>40</v>
      </c>
      <c r="Q4" s="586"/>
    </row>
    <row r="5" spans="1:17" ht="15" customHeight="1">
      <c r="A5" s="17" t="s">
        <v>9</v>
      </c>
      <c r="B5" s="570"/>
      <c r="C5" s="571"/>
      <c r="D5" s="583"/>
      <c r="E5" s="584"/>
      <c r="F5" s="570"/>
      <c r="G5" s="571"/>
      <c r="H5" s="570"/>
      <c r="I5" s="571"/>
      <c r="J5" s="570"/>
      <c r="K5" s="571"/>
      <c r="L5" s="570"/>
      <c r="M5" s="571"/>
      <c r="N5" s="570"/>
      <c r="O5" s="571"/>
      <c r="P5" s="570"/>
      <c r="Q5" s="587"/>
    </row>
    <row r="6" spans="1:17" ht="15" customHeight="1">
      <c r="A6" s="18" t="s">
        <v>7</v>
      </c>
      <c r="C6" s="249"/>
      <c r="E6" s="249"/>
      <c r="G6" s="249"/>
      <c r="I6" s="249"/>
      <c r="K6" s="249"/>
      <c r="M6" s="249"/>
      <c r="P6" s="250"/>
      <c r="Q6" s="251"/>
    </row>
    <row r="7" spans="1:17" ht="15" customHeight="1">
      <c r="A7" s="19" t="s">
        <v>17</v>
      </c>
      <c r="B7" s="5" t="s">
        <v>49</v>
      </c>
      <c r="C7" s="6" t="s">
        <v>50</v>
      </c>
      <c r="D7" s="5" t="s">
        <v>49</v>
      </c>
      <c r="E7" s="7" t="s">
        <v>50</v>
      </c>
      <c r="F7" s="6" t="s">
        <v>49</v>
      </c>
      <c r="G7" s="6" t="s">
        <v>50</v>
      </c>
      <c r="H7" s="5" t="s">
        <v>49</v>
      </c>
      <c r="I7" s="7" t="s">
        <v>50</v>
      </c>
      <c r="J7" s="6" t="s">
        <v>49</v>
      </c>
      <c r="K7" s="6" t="s">
        <v>50</v>
      </c>
      <c r="L7" s="5" t="s">
        <v>49</v>
      </c>
      <c r="M7" s="7" t="s">
        <v>50</v>
      </c>
      <c r="N7" s="6" t="s">
        <v>49</v>
      </c>
      <c r="O7" s="6" t="s">
        <v>50</v>
      </c>
      <c r="P7" s="5" t="s">
        <v>49</v>
      </c>
      <c r="Q7" s="8" t="s">
        <v>50</v>
      </c>
    </row>
    <row r="8" spans="1:17" ht="15" customHeight="1">
      <c r="A8" s="20">
        <v>1</v>
      </c>
      <c r="B8" s="449"/>
      <c r="C8" s="167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52"/>
      <c r="O8" s="473"/>
      <c r="P8" s="474"/>
      <c r="Q8" s="475"/>
    </row>
    <row r="9" spans="1:17" ht="15" customHeight="1">
      <c r="A9" s="20">
        <v>2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52"/>
      <c r="O9" s="452"/>
      <c r="P9" s="451"/>
      <c r="Q9" s="451"/>
    </row>
    <row r="10" spans="1:17" ht="15" customHeight="1">
      <c r="A10" s="20">
        <v>3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52"/>
      <c r="O10" s="452"/>
      <c r="P10" s="451"/>
      <c r="Q10" s="451"/>
    </row>
    <row r="11" spans="1:17" ht="15" customHeight="1">
      <c r="A11" s="20">
        <v>4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52"/>
      <c r="O11" s="452"/>
      <c r="P11" s="451"/>
      <c r="Q11" s="451"/>
    </row>
    <row r="12" spans="1:17" ht="15" customHeight="1">
      <c r="A12" s="20">
        <v>5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52"/>
      <c r="O12" s="452"/>
      <c r="P12" s="451"/>
      <c r="Q12" s="451"/>
    </row>
    <row r="13" spans="1:17" ht="15" customHeight="1">
      <c r="A13" s="20">
        <v>6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52"/>
      <c r="O13" s="452"/>
      <c r="P13" s="451"/>
      <c r="Q13" s="451"/>
    </row>
    <row r="14" spans="1:17" ht="15" customHeight="1">
      <c r="A14" s="20">
        <v>7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52"/>
      <c r="O14" s="452"/>
      <c r="P14" s="451"/>
      <c r="Q14" s="451"/>
    </row>
    <row r="15" spans="1:17" ht="15" customHeight="1">
      <c r="A15" s="20">
        <v>8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52"/>
      <c r="O15" s="452"/>
      <c r="P15" s="451"/>
      <c r="Q15" s="451"/>
    </row>
    <row r="16" spans="1:17" ht="15" customHeight="1">
      <c r="A16" s="20">
        <v>9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52"/>
      <c r="O16" s="452"/>
      <c r="P16" s="451"/>
      <c r="Q16" s="451"/>
    </row>
    <row r="17" spans="1:17" ht="15" customHeight="1">
      <c r="A17" s="20">
        <v>10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52"/>
      <c r="O17" s="452"/>
      <c r="P17" s="451"/>
      <c r="Q17" s="451"/>
    </row>
    <row r="18" spans="1:17" ht="15" customHeight="1">
      <c r="A18" s="20">
        <v>11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52"/>
      <c r="O18" s="452"/>
      <c r="P18" s="451"/>
      <c r="Q18" s="451"/>
    </row>
    <row r="19" spans="1:17" ht="15" customHeight="1">
      <c r="A19" s="20">
        <v>12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52"/>
      <c r="O19" s="452"/>
      <c r="P19" s="451"/>
      <c r="Q19" s="451"/>
    </row>
    <row r="20" spans="1:17" ht="15" customHeight="1">
      <c r="A20" s="20">
        <v>13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52"/>
      <c r="O20" s="452"/>
      <c r="P20" s="451"/>
      <c r="Q20" s="451"/>
    </row>
    <row r="21" spans="1:17" ht="15" customHeight="1">
      <c r="A21" s="20">
        <v>14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52"/>
      <c r="O21" s="452"/>
      <c r="P21" s="451"/>
      <c r="Q21" s="451"/>
    </row>
    <row r="22" spans="1:17" ht="15" customHeight="1">
      <c r="A22" s="20">
        <v>15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52"/>
      <c r="O22" s="452"/>
      <c r="P22" s="451"/>
      <c r="Q22" s="451"/>
    </row>
    <row r="23" spans="1:17" ht="15" customHeight="1">
      <c r="A23" s="20">
        <v>16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52"/>
      <c r="O23" s="452"/>
      <c r="P23" s="451"/>
      <c r="Q23" s="451"/>
    </row>
    <row r="24" spans="1:17" ht="15" customHeight="1">
      <c r="A24" s="20">
        <v>17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51"/>
      <c r="Q24" s="451"/>
    </row>
    <row r="25" spans="1:17" ht="15" customHeight="1">
      <c r="A25" s="20">
        <v>18</v>
      </c>
      <c r="B25" s="449">
        <v>1.6</v>
      </c>
      <c r="C25" s="449">
        <v>1.1</v>
      </c>
      <c r="D25" s="449">
        <v>2</v>
      </c>
      <c r="E25" s="449">
        <v>1.6</v>
      </c>
      <c r="F25" s="451">
        <v>0</v>
      </c>
      <c r="G25" s="451">
        <v>0</v>
      </c>
      <c r="H25" s="449">
        <v>9.9</v>
      </c>
      <c r="I25" s="449">
        <v>9.3</v>
      </c>
      <c r="J25" s="449">
        <v>8.4</v>
      </c>
      <c r="K25" s="449">
        <v>8.2</v>
      </c>
      <c r="L25" s="449">
        <v>16.1</v>
      </c>
      <c r="M25" s="449">
        <v>16.5</v>
      </c>
      <c r="N25" s="449">
        <v>159.7</v>
      </c>
      <c r="O25" s="449">
        <v>61.7</v>
      </c>
      <c r="P25" s="451" t="s">
        <v>522</v>
      </c>
      <c r="Q25" s="451">
        <v>0.36</v>
      </c>
    </row>
    <row r="26" spans="1:17" ht="15" customHeight="1">
      <c r="A26" s="20">
        <v>19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52"/>
      <c r="O26" s="452"/>
      <c r="P26" s="451"/>
      <c r="Q26" s="451"/>
    </row>
    <row r="27" spans="1:17" ht="15" customHeight="1">
      <c r="A27" s="20">
        <v>20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52"/>
      <c r="O27" s="452"/>
      <c r="P27" s="451"/>
      <c r="Q27" s="451"/>
    </row>
    <row r="28" spans="1:17" ht="15" customHeight="1">
      <c r="A28" s="20">
        <v>21</v>
      </c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52"/>
      <c r="O28" s="452"/>
      <c r="P28" s="451"/>
      <c r="Q28" s="451"/>
    </row>
    <row r="29" spans="1:17" ht="15" customHeight="1">
      <c r="A29" s="20">
        <v>22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52"/>
      <c r="O29" s="452"/>
      <c r="P29" s="451"/>
      <c r="Q29" s="451"/>
    </row>
    <row r="30" spans="1:17" ht="15" customHeight="1">
      <c r="A30" s="20">
        <v>23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52"/>
      <c r="O30" s="452"/>
      <c r="P30" s="451"/>
      <c r="Q30" s="451"/>
    </row>
    <row r="31" spans="1:17" ht="15" customHeight="1">
      <c r="A31" s="20">
        <v>24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52"/>
      <c r="O31" s="452"/>
      <c r="P31" s="451"/>
      <c r="Q31" s="451"/>
    </row>
    <row r="32" spans="1:17" ht="15" customHeight="1">
      <c r="A32" s="20">
        <v>25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52"/>
      <c r="O32" s="452"/>
      <c r="P32" s="451"/>
      <c r="Q32" s="451"/>
    </row>
    <row r="33" spans="1:17" ht="15" customHeight="1">
      <c r="A33" s="20">
        <v>26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52"/>
      <c r="O33" s="452"/>
      <c r="P33" s="451"/>
      <c r="Q33" s="451"/>
    </row>
    <row r="34" spans="1:17" ht="15" customHeight="1">
      <c r="A34" s="20">
        <v>27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52"/>
      <c r="O34" s="452"/>
      <c r="P34" s="451"/>
      <c r="Q34" s="451"/>
    </row>
    <row r="35" spans="1:17" ht="15" customHeight="1">
      <c r="A35" s="20">
        <v>28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52"/>
      <c r="O35" s="452"/>
      <c r="P35" s="451"/>
      <c r="Q35" s="451"/>
    </row>
    <row r="36" spans="1:17" ht="15" customHeight="1">
      <c r="A36" s="20">
        <v>29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52"/>
      <c r="O36" s="452"/>
      <c r="P36" s="451"/>
      <c r="Q36" s="451"/>
    </row>
    <row r="37" spans="1:17" ht="15" customHeight="1">
      <c r="A37" s="20">
        <v>30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51"/>
      <c r="Q37" s="451"/>
    </row>
    <row r="38" spans="1:17" ht="15" customHeight="1" thickBot="1">
      <c r="A38" s="20"/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76"/>
      <c r="O38" s="476"/>
      <c r="P38" s="477"/>
      <c r="Q38" s="477"/>
    </row>
    <row r="39" spans="1:17" ht="18" customHeight="1" thickTop="1">
      <c r="A39" s="148" t="s">
        <v>18</v>
      </c>
      <c r="B39" s="445">
        <f>SUM(B8:B38)</f>
        <v>1.6</v>
      </c>
      <c r="C39" s="445">
        <f aca="true" t="shared" si="0" ref="C39:Q39">SUM(C8:C38)</f>
        <v>1.1</v>
      </c>
      <c r="D39" s="445">
        <f t="shared" si="0"/>
        <v>2</v>
      </c>
      <c r="E39" s="445">
        <f t="shared" si="0"/>
        <v>1.6</v>
      </c>
      <c r="F39" s="428">
        <f t="shared" si="0"/>
        <v>0</v>
      </c>
      <c r="G39" s="428">
        <f t="shared" si="0"/>
        <v>0</v>
      </c>
      <c r="H39" s="445">
        <f t="shared" si="0"/>
        <v>9.9</v>
      </c>
      <c r="I39" s="445">
        <f t="shared" si="0"/>
        <v>9.3</v>
      </c>
      <c r="J39" s="445">
        <f t="shared" si="0"/>
        <v>8.4</v>
      </c>
      <c r="K39" s="445">
        <f t="shared" si="0"/>
        <v>8.2</v>
      </c>
      <c r="L39" s="445">
        <f t="shared" si="0"/>
        <v>16.1</v>
      </c>
      <c r="M39" s="445">
        <f t="shared" si="0"/>
        <v>16.5</v>
      </c>
      <c r="N39" s="445">
        <f t="shared" si="0"/>
        <v>159.7</v>
      </c>
      <c r="O39" s="445">
        <f t="shared" si="0"/>
        <v>61.7</v>
      </c>
      <c r="P39" s="428" t="s">
        <v>522</v>
      </c>
      <c r="Q39" s="428">
        <f t="shared" si="0"/>
        <v>0.36</v>
      </c>
    </row>
    <row r="40" spans="1:17" ht="18" customHeight="1">
      <c r="A40" s="147" t="s">
        <v>37</v>
      </c>
      <c r="B40" s="145">
        <f>AVERAGE(B8:B38)</f>
        <v>1.6</v>
      </c>
      <c r="C40" s="145">
        <f aca="true" t="shared" si="1" ref="C40:Q40">AVERAGE(C8:C38)</f>
        <v>1.1</v>
      </c>
      <c r="D40" s="145">
        <f t="shared" si="1"/>
        <v>2</v>
      </c>
      <c r="E40" s="145">
        <f t="shared" si="1"/>
        <v>1.6</v>
      </c>
      <c r="F40" s="146">
        <f t="shared" si="1"/>
        <v>0</v>
      </c>
      <c r="G40" s="146">
        <f t="shared" si="1"/>
        <v>0</v>
      </c>
      <c r="H40" s="145">
        <f t="shared" si="1"/>
        <v>9.9</v>
      </c>
      <c r="I40" s="145">
        <f t="shared" si="1"/>
        <v>9.3</v>
      </c>
      <c r="J40" s="145">
        <f t="shared" si="1"/>
        <v>8.4</v>
      </c>
      <c r="K40" s="145">
        <f t="shared" si="1"/>
        <v>8.2</v>
      </c>
      <c r="L40" s="145">
        <f t="shared" si="1"/>
        <v>16.1</v>
      </c>
      <c r="M40" s="145">
        <f t="shared" si="1"/>
        <v>16.5</v>
      </c>
      <c r="N40" s="145">
        <f t="shared" si="1"/>
        <v>159.7</v>
      </c>
      <c r="O40" s="145">
        <f t="shared" si="1"/>
        <v>61.7</v>
      </c>
      <c r="P40" s="146" t="s">
        <v>522</v>
      </c>
      <c r="Q40" s="146">
        <f t="shared" si="1"/>
        <v>0.36</v>
      </c>
    </row>
    <row r="41" spans="1:17" ht="18" customHeight="1">
      <c r="A41" s="15" t="s">
        <v>38</v>
      </c>
      <c r="B41" s="145">
        <f>MAXA(B8:B38)</f>
        <v>1.6</v>
      </c>
      <c r="C41" s="145">
        <f aca="true" t="shared" si="2" ref="C41:Q41">MAXA(C8:C38)</f>
        <v>1.1</v>
      </c>
      <c r="D41" s="145">
        <f t="shared" si="2"/>
        <v>2</v>
      </c>
      <c r="E41" s="145">
        <f t="shared" si="2"/>
        <v>1.6</v>
      </c>
      <c r="F41" s="146">
        <f t="shared" si="2"/>
        <v>0</v>
      </c>
      <c r="G41" s="146">
        <f t="shared" si="2"/>
        <v>0</v>
      </c>
      <c r="H41" s="145">
        <f t="shared" si="2"/>
        <v>9.9</v>
      </c>
      <c r="I41" s="145">
        <f t="shared" si="2"/>
        <v>9.3</v>
      </c>
      <c r="J41" s="145">
        <f t="shared" si="2"/>
        <v>8.4</v>
      </c>
      <c r="K41" s="145">
        <f t="shared" si="2"/>
        <v>8.2</v>
      </c>
      <c r="L41" s="145">
        <f t="shared" si="2"/>
        <v>16.1</v>
      </c>
      <c r="M41" s="145">
        <f t="shared" si="2"/>
        <v>16.5</v>
      </c>
      <c r="N41" s="145">
        <f t="shared" si="2"/>
        <v>159.7</v>
      </c>
      <c r="O41" s="145">
        <f t="shared" si="2"/>
        <v>61.7</v>
      </c>
      <c r="P41" s="146" t="s">
        <v>522</v>
      </c>
      <c r="Q41" s="146">
        <f t="shared" si="2"/>
        <v>0.36</v>
      </c>
    </row>
    <row r="42" spans="1:17" ht="18" customHeight="1">
      <c r="A42" s="15" t="s">
        <v>39</v>
      </c>
      <c r="B42" s="145">
        <f>MIN(B8:B38)</f>
        <v>1.6</v>
      </c>
      <c r="C42" s="145">
        <f aca="true" t="shared" si="3" ref="C42:Q42">MIN(C8:C38)</f>
        <v>1.1</v>
      </c>
      <c r="D42" s="145">
        <f t="shared" si="3"/>
        <v>2</v>
      </c>
      <c r="E42" s="145">
        <f t="shared" si="3"/>
        <v>1.6</v>
      </c>
      <c r="F42" s="146">
        <f t="shared" si="3"/>
        <v>0</v>
      </c>
      <c r="G42" s="146">
        <f t="shared" si="3"/>
        <v>0</v>
      </c>
      <c r="H42" s="145">
        <f t="shared" si="3"/>
        <v>9.9</v>
      </c>
      <c r="I42" s="145">
        <f t="shared" si="3"/>
        <v>9.3</v>
      </c>
      <c r="J42" s="145">
        <f t="shared" si="3"/>
        <v>8.4</v>
      </c>
      <c r="K42" s="145">
        <f t="shared" si="3"/>
        <v>8.2</v>
      </c>
      <c r="L42" s="145">
        <f t="shared" si="3"/>
        <v>16.1</v>
      </c>
      <c r="M42" s="145">
        <f t="shared" si="3"/>
        <v>16.5</v>
      </c>
      <c r="N42" s="145">
        <f t="shared" si="3"/>
        <v>159.7</v>
      </c>
      <c r="O42" s="145">
        <f t="shared" si="3"/>
        <v>61.7</v>
      </c>
      <c r="P42" s="146" t="s">
        <v>522</v>
      </c>
      <c r="Q42" s="146">
        <f t="shared" si="3"/>
        <v>0.36</v>
      </c>
    </row>
    <row r="43" ht="15" customHeight="1"/>
    <row r="44" spans="2:17" ht="15" customHeight="1">
      <c r="B44" s="236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</row>
    <row r="45" ht="15" customHeight="1"/>
    <row r="46" ht="15" customHeight="1"/>
    <row r="47" ht="15" customHeight="1"/>
    <row r="48" ht="15" customHeight="1"/>
    <row r="49" ht="15" customHeight="1"/>
  </sheetData>
  <sheetProtection/>
  <mergeCells count="11">
    <mergeCell ref="N4:O5"/>
    <mergeCell ref="J4:K5"/>
    <mergeCell ref="A2:Q2"/>
    <mergeCell ref="B4:C5"/>
    <mergeCell ref="A1:Q1"/>
    <mergeCell ref="B3:Q3"/>
    <mergeCell ref="D4:E5"/>
    <mergeCell ref="F4:G5"/>
    <mergeCell ref="H4:I5"/>
    <mergeCell ref="L4:M5"/>
    <mergeCell ref="P4:Q5"/>
  </mergeCells>
  <printOptions gridLines="1" horizontalCentered="1" verticalCentered="1"/>
  <pageMargins left="0" right="0" top="0.75" bottom="0.5" header="0" footer="0"/>
  <pageSetup fitToHeight="1" fitToWidth="1" horizontalDpi="300" verticalDpi="300" orientation="landscape" paperSize="5" scale="79" r:id="rId1"/>
  <headerFooter alignWithMargins="0">
    <oddHeader>&amp;C&amp;"Arial,Bold"&amp;18City of Maynardville  WWTP
Permit # TN0022870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53"/>
  <sheetViews>
    <sheetView zoomScalePageLayoutView="0" workbookViewId="0" topLeftCell="A1">
      <selection activeCell="E81" sqref="E81:E82"/>
    </sheetView>
  </sheetViews>
  <sheetFormatPr defaultColWidth="9.140625" defaultRowHeight="12.75"/>
  <cols>
    <col min="2" max="2" width="9.00390625" style="0" customWidth="1"/>
    <col min="3" max="3" width="14.00390625" style="0" customWidth="1"/>
    <col min="4" max="4" width="13.140625" style="0" customWidth="1"/>
    <col min="5" max="5" width="18.00390625" style="0" customWidth="1"/>
    <col min="6" max="6" width="16.421875" style="0" customWidth="1"/>
    <col min="7" max="8" width="15.7109375" style="0" customWidth="1"/>
    <col min="9" max="9" width="13.00390625" style="0" customWidth="1"/>
    <col min="10" max="10" width="7.57421875" style="0" customWidth="1"/>
    <col min="11" max="11" width="4.421875" style="0" customWidth="1"/>
    <col min="12" max="12" width="8.140625" style="0" customWidth="1"/>
    <col min="13" max="13" width="7.28125" style="0" customWidth="1"/>
  </cols>
  <sheetData>
    <row r="1" spans="1:12" ht="10.5" customHeight="1">
      <c r="A1" s="21" t="s">
        <v>184</v>
      </c>
      <c r="E1" s="22" t="s">
        <v>62</v>
      </c>
      <c r="F1" s="22"/>
      <c r="G1" s="23"/>
      <c r="H1" s="22"/>
      <c r="I1" s="22"/>
      <c r="J1" s="22"/>
      <c r="K1" s="24"/>
      <c r="L1" s="24"/>
    </row>
    <row r="2" spans="1:13" ht="10.5" customHeight="1">
      <c r="A2" s="25" t="s">
        <v>63</v>
      </c>
      <c r="E2" s="22"/>
      <c r="F2" s="26" t="s">
        <v>185</v>
      </c>
      <c r="G2" s="23"/>
      <c r="H2" s="22"/>
      <c r="I2" s="22"/>
      <c r="K2" s="31" t="s">
        <v>65</v>
      </c>
      <c r="L2" s="31"/>
      <c r="M2" s="31"/>
    </row>
    <row r="3" spans="1:13" ht="10.5" customHeight="1">
      <c r="A3" s="27" t="s">
        <v>64</v>
      </c>
      <c r="B3" s="28" t="s">
        <v>419</v>
      </c>
      <c r="E3" s="29" t="s">
        <v>186</v>
      </c>
      <c r="H3" s="30" t="s">
        <v>187</v>
      </c>
      <c r="I3" s="24" t="s">
        <v>399</v>
      </c>
      <c r="K3" s="31" t="s">
        <v>69</v>
      </c>
      <c r="L3" s="31" t="s">
        <v>70</v>
      </c>
      <c r="M3" s="31" t="s">
        <v>71</v>
      </c>
    </row>
    <row r="4" spans="1:10" ht="10.5" customHeight="1">
      <c r="A4" s="27" t="s">
        <v>66</v>
      </c>
      <c r="B4" s="28" t="s">
        <v>420</v>
      </c>
      <c r="E4" s="32" t="s">
        <v>423</v>
      </c>
      <c r="F4" s="33"/>
      <c r="H4" s="34" t="s">
        <v>67</v>
      </c>
      <c r="I4" s="24" t="s">
        <v>424</v>
      </c>
      <c r="J4" s="24"/>
    </row>
    <row r="5" spans="1:12" ht="10.5" customHeight="1">
      <c r="A5" s="24"/>
      <c r="B5" s="28" t="s">
        <v>421</v>
      </c>
      <c r="E5" s="36" t="s">
        <v>72</v>
      </c>
      <c r="F5" s="37"/>
      <c r="H5" s="38" t="s">
        <v>73</v>
      </c>
      <c r="I5" s="35" t="s">
        <v>68</v>
      </c>
      <c r="L5" s="35"/>
    </row>
    <row r="6" spans="1:10" ht="10.5" customHeight="1">
      <c r="A6" s="24"/>
      <c r="B6" s="28"/>
      <c r="I6" s="24" t="s">
        <v>74</v>
      </c>
      <c r="J6" s="24" t="s">
        <v>400</v>
      </c>
    </row>
    <row r="7" spans="1:9" ht="10.5" customHeight="1">
      <c r="A7" s="26" t="s">
        <v>75</v>
      </c>
      <c r="B7" s="28" t="s">
        <v>422</v>
      </c>
      <c r="E7" s="39"/>
      <c r="F7" s="40" t="s">
        <v>76</v>
      </c>
      <c r="G7" s="4"/>
      <c r="H7" s="41"/>
      <c r="I7" s="24" t="s">
        <v>424</v>
      </c>
    </row>
    <row r="8" spans="1:9" ht="10.5" customHeight="1" thickBot="1">
      <c r="A8" s="27" t="s">
        <v>77</v>
      </c>
      <c r="B8" s="28" t="s">
        <v>421</v>
      </c>
      <c r="E8" s="42" t="s">
        <v>78</v>
      </c>
      <c r="F8" s="43" t="s">
        <v>79</v>
      </c>
      <c r="G8" s="42" t="s">
        <v>80</v>
      </c>
      <c r="H8" s="44" t="s">
        <v>81</v>
      </c>
      <c r="I8" s="24"/>
    </row>
    <row r="9" spans="4:11" ht="10.5" customHeight="1" thickBot="1">
      <c r="D9" s="46"/>
      <c r="E9" s="416">
        <f>+DMRVIO!B26</f>
        <v>0</v>
      </c>
      <c r="F9" s="390">
        <v>1</v>
      </c>
      <c r="G9" s="416">
        <f>+E9</f>
        <v>0</v>
      </c>
      <c r="H9" s="411">
        <f>+DMRVIO!G26</f>
        <v>0</v>
      </c>
      <c r="I9" s="24" t="s">
        <v>82</v>
      </c>
      <c r="J9" s="308"/>
      <c r="K9" t="s">
        <v>83</v>
      </c>
    </row>
    <row r="10" spans="1:10" ht="10.5" customHeight="1">
      <c r="A10" t="s">
        <v>497</v>
      </c>
      <c r="D10" s="48"/>
      <c r="E10" s="49" t="s">
        <v>84</v>
      </c>
      <c r="F10" s="50" t="s">
        <v>188</v>
      </c>
      <c r="G10" s="49" t="s">
        <v>85</v>
      </c>
      <c r="H10" s="49" t="s">
        <v>86</v>
      </c>
      <c r="I10" s="51" t="s">
        <v>87</v>
      </c>
      <c r="J10" s="52"/>
    </row>
    <row r="11" spans="1:13" ht="10.5" customHeight="1">
      <c r="A11" s="53"/>
      <c r="B11" s="54"/>
      <c r="C11" s="55"/>
      <c r="D11" s="56" t="s">
        <v>189</v>
      </c>
      <c r="E11" s="54"/>
      <c r="F11" s="57"/>
      <c r="G11" s="58" t="s">
        <v>190</v>
      </c>
      <c r="H11" s="59" t="s">
        <v>88</v>
      </c>
      <c r="I11" s="4"/>
      <c r="J11" s="57"/>
      <c r="K11" s="60" t="s">
        <v>89</v>
      </c>
      <c r="L11" s="60" t="s">
        <v>90</v>
      </c>
      <c r="M11" s="60" t="s">
        <v>91</v>
      </c>
    </row>
    <row r="12" spans="1:13" ht="10.5" customHeight="1">
      <c r="A12" s="61" t="s">
        <v>92</v>
      </c>
      <c r="C12" s="62"/>
      <c r="D12" s="63" t="s">
        <v>191</v>
      </c>
      <c r="E12" s="52" t="s">
        <v>192</v>
      </c>
      <c r="F12" s="3"/>
      <c r="G12" s="52" t="s">
        <v>193</v>
      </c>
      <c r="H12" s="52" t="s">
        <v>191</v>
      </c>
      <c r="I12" s="52" t="s">
        <v>192</v>
      </c>
      <c r="J12" s="64"/>
      <c r="K12" s="65" t="s">
        <v>93</v>
      </c>
      <c r="L12" s="65" t="s">
        <v>94</v>
      </c>
      <c r="M12" s="65" t="s">
        <v>95</v>
      </c>
    </row>
    <row r="13" spans="1:13" ht="10.5" customHeight="1">
      <c r="A13" s="66"/>
      <c r="B13" s="67" t="s">
        <v>96</v>
      </c>
      <c r="C13" s="68"/>
      <c r="D13" s="69" t="s">
        <v>97</v>
      </c>
      <c r="E13" s="70" t="s">
        <v>98</v>
      </c>
      <c r="F13" s="70" t="s">
        <v>99</v>
      </c>
      <c r="G13" s="70" t="s">
        <v>100</v>
      </c>
      <c r="H13" s="70" t="s">
        <v>97</v>
      </c>
      <c r="I13" s="70" t="s">
        <v>98</v>
      </c>
      <c r="J13" s="70" t="s">
        <v>99</v>
      </c>
      <c r="K13" s="71" t="s">
        <v>194</v>
      </c>
      <c r="L13" s="71" t="s">
        <v>195</v>
      </c>
      <c r="M13" s="71" t="s">
        <v>196</v>
      </c>
    </row>
    <row r="14" spans="1:13" ht="10.5" customHeight="1">
      <c r="A14" s="72" t="s">
        <v>101</v>
      </c>
      <c r="B14" s="73"/>
      <c r="C14" s="74" t="s">
        <v>91</v>
      </c>
      <c r="D14" s="75" t="s">
        <v>102</v>
      </c>
      <c r="E14" s="75" t="s">
        <v>102</v>
      </c>
      <c r="F14" s="76" t="s">
        <v>102</v>
      </c>
      <c r="G14" s="590">
        <f>+State1!S42</f>
        <v>6.2</v>
      </c>
      <c r="H14" s="75" t="s">
        <v>102</v>
      </c>
      <c r="I14" s="75" t="s">
        <v>102</v>
      </c>
      <c r="J14" s="77" t="s">
        <v>103</v>
      </c>
      <c r="K14" s="401">
        <f>+DMRVIO!E5</f>
        <v>0</v>
      </c>
      <c r="L14" s="214" t="s">
        <v>402</v>
      </c>
      <c r="M14" s="79" t="s">
        <v>105</v>
      </c>
    </row>
    <row r="15" spans="1:13" ht="10.5" customHeight="1">
      <c r="A15" s="80" t="s">
        <v>106</v>
      </c>
      <c r="B15" s="81" t="s">
        <v>107</v>
      </c>
      <c r="C15" s="74" t="s">
        <v>108</v>
      </c>
      <c r="D15" s="82"/>
      <c r="E15" s="82"/>
      <c r="F15" s="82"/>
      <c r="G15" s="591"/>
      <c r="H15" s="82"/>
      <c r="I15" s="82"/>
      <c r="J15" s="78" t="s">
        <v>109</v>
      </c>
      <c r="K15" s="83"/>
      <c r="L15" s="83"/>
      <c r="M15" s="84"/>
    </row>
    <row r="16" spans="1:13" ht="10.5" customHeight="1">
      <c r="A16" s="72" t="s">
        <v>110</v>
      </c>
      <c r="B16" s="73"/>
      <c r="C16" s="85" t="s">
        <v>111</v>
      </c>
      <c r="D16" s="86" t="s">
        <v>102</v>
      </c>
      <c r="E16" s="86" t="s">
        <v>102</v>
      </c>
      <c r="F16" s="76" t="s">
        <v>102</v>
      </c>
      <c r="G16" s="101">
        <v>5</v>
      </c>
      <c r="H16" s="86" t="s">
        <v>102</v>
      </c>
      <c r="I16" s="86" t="s">
        <v>102</v>
      </c>
      <c r="J16" s="78"/>
      <c r="K16" s="87"/>
      <c r="L16" s="87" t="s">
        <v>112</v>
      </c>
      <c r="M16" s="88" t="s">
        <v>105</v>
      </c>
    </row>
    <row r="17" spans="1:13" ht="10.5" customHeight="1">
      <c r="A17" s="89"/>
      <c r="B17" s="90"/>
      <c r="C17" s="91" t="s">
        <v>113</v>
      </c>
      <c r="D17" s="92"/>
      <c r="E17" s="92"/>
      <c r="F17" s="93"/>
      <c r="G17" s="94" t="s">
        <v>114</v>
      </c>
      <c r="H17" s="94"/>
      <c r="I17" s="94"/>
      <c r="J17" s="95"/>
      <c r="K17" s="96"/>
      <c r="L17" s="96"/>
      <c r="M17" s="97"/>
    </row>
    <row r="18" spans="1:13" ht="10.5" customHeight="1">
      <c r="A18" s="72" t="s">
        <v>44</v>
      </c>
      <c r="B18" s="73"/>
      <c r="C18" s="74" t="s">
        <v>91</v>
      </c>
      <c r="D18" s="75" t="s">
        <v>102</v>
      </c>
      <c r="E18" s="75" t="s">
        <v>102</v>
      </c>
      <c r="F18" s="76" t="s">
        <v>102</v>
      </c>
      <c r="G18" s="590">
        <f>+State1!U42</f>
        <v>7.5</v>
      </c>
      <c r="H18" s="388" t="s">
        <v>102</v>
      </c>
      <c r="I18" s="590">
        <f>+State1!U41</f>
        <v>7.7</v>
      </c>
      <c r="J18" s="77" t="s">
        <v>115</v>
      </c>
      <c r="K18" s="401">
        <f>+DMRVIO!F5</f>
        <v>0</v>
      </c>
      <c r="L18" s="214" t="s">
        <v>402</v>
      </c>
      <c r="M18" s="79" t="s">
        <v>105</v>
      </c>
    </row>
    <row r="19" spans="1:13" ht="10.5" customHeight="1">
      <c r="A19" s="80" t="s">
        <v>116</v>
      </c>
      <c r="B19" s="81" t="s">
        <v>107</v>
      </c>
      <c r="C19" s="74" t="s">
        <v>108</v>
      </c>
      <c r="D19" s="82"/>
      <c r="E19" s="82"/>
      <c r="F19" s="82"/>
      <c r="G19" s="591"/>
      <c r="H19" s="389"/>
      <c r="I19" s="591"/>
      <c r="J19" s="78" t="s">
        <v>117</v>
      </c>
      <c r="K19" s="83"/>
      <c r="L19" s="83"/>
      <c r="M19" s="84"/>
    </row>
    <row r="20" spans="1:13" ht="10.5" customHeight="1">
      <c r="A20" s="72" t="s">
        <v>110</v>
      </c>
      <c r="B20" s="73"/>
      <c r="C20" s="85" t="s">
        <v>111</v>
      </c>
      <c r="D20" s="86" t="s">
        <v>102</v>
      </c>
      <c r="E20" s="86" t="s">
        <v>102</v>
      </c>
      <c r="F20" s="76" t="s">
        <v>102</v>
      </c>
      <c r="G20" s="101">
        <v>6</v>
      </c>
      <c r="H20" s="86" t="s">
        <v>102</v>
      </c>
      <c r="I20" s="101">
        <v>9</v>
      </c>
      <c r="J20" s="78"/>
      <c r="K20" s="87"/>
      <c r="L20" s="87" t="s">
        <v>112</v>
      </c>
      <c r="M20" s="88" t="s">
        <v>105</v>
      </c>
    </row>
    <row r="21" spans="1:13" ht="10.5" customHeight="1">
      <c r="A21" s="89"/>
      <c r="B21" s="90"/>
      <c r="C21" s="91" t="s">
        <v>113</v>
      </c>
      <c r="D21" s="92"/>
      <c r="E21" s="92"/>
      <c r="F21" s="93"/>
      <c r="G21" s="94" t="s">
        <v>118</v>
      </c>
      <c r="H21" s="94"/>
      <c r="I21" s="94" t="s">
        <v>119</v>
      </c>
      <c r="J21" s="95"/>
      <c r="K21" s="96"/>
      <c r="L21" s="96"/>
      <c r="M21" s="97"/>
    </row>
    <row r="22" spans="1:13" ht="10.5" customHeight="1">
      <c r="A22" s="72" t="s">
        <v>120</v>
      </c>
      <c r="B22" s="73"/>
      <c r="C22" s="74" t="s">
        <v>91</v>
      </c>
      <c r="D22" s="75" t="s">
        <v>102</v>
      </c>
      <c r="E22" s="75" t="s">
        <v>102</v>
      </c>
      <c r="F22" s="76" t="s">
        <v>102</v>
      </c>
      <c r="G22" s="75" t="s">
        <v>102</v>
      </c>
      <c r="H22" s="620">
        <f>+State1!L40</f>
        <v>304.53333333333336</v>
      </c>
      <c r="I22" s="620">
        <f>+State1!L41</f>
        <v>1060</v>
      </c>
      <c r="J22" s="77" t="s">
        <v>103</v>
      </c>
      <c r="K22" s="78">
        <v>0</v>
      </c>
      <c r="L22" s="78" t="s">
        <v>425</v>
      </c>
      <c r="M22" s="79" t="s">
        <v>121</v>
      </c>
    </row>
    <row r="23" spans="1:13" ht="10.5" customHeight="1">
      <c r="A23" s="80" t="s">
        <v>122</v>
      </c>
      <c r="B23" s="81" t="s">
        <v>123</v>
      </c>
      <c r="C23" s="74" t="s">
        <v>108</v>
      </c>
      <c r="D23" s="82"/>
      <c r="E23" s="82"/>
      <c r="F23" s="82"/>
      <c r="G23" s="82"/>
      <c r="H23" s="621"/>
      <c r="I23" s="621"/>
      <c r="J23" s="78" t="s">
        <v>109</v>
      </c>
      <c r="K23" s="83"/>
      <c r="L23" s="83" t="s">
        <v>426</v>
      </c>
      <c r="M23" s="84"/>
    </row>
    <row r="24" spans="1:13" ht="10.5" customHeight="1">
      <c r="A24" s="72" t="s">
        <v>159</v>
      </c>
      <c r="B24" s="73"/>
      <c r="C24" s="85" t="s">
        <v>111</v>
      </c>
      <c r="D24" s="86" t="s">
        <v>102</v>
      </c>
      <c r="E24" s="86" t="s">
        <v>102</v>
      </c>
      <c r="F24" s="76" t="s">
        <v>102</v>
      </c>
      <c r="G24" s="86" t="s">
        <v>102</v>
      </c>
      <c r="H24" s="86" t="s">
        <v>124</v>
      </c>
      <c r="I24" s="86" t="s">
        <v>124</v>
      </c>
      <c r="J24" s="78"/>
      <c r="K24" s="87"/>
      <c r="L24" s="87" t="s">
        <v>425</v>
      </c>
      <c r="M24" s="88" t="s">
        <v>121</v>
      </c>
    </row>
    <row r="25" spans="1:13" ht="10.5" customHeight="1">
      <c r="A25" s="89"/>
      <c r="B25" s="90"/>
      <c r="C25" s="91" t="s">
        <v>113</v>
      </c>
      <c r="D25" s="92"/>
      <c r="E25" s="92"/>
      <c r="F25" s="93"/>
      <c r="G25" s="94"/>
      <c r="H25" s="94" t="s">
        <v>125</v>
      </c>
      <c r="I25" s="94" t="s">
        <v>119</v>
      </c>
      <c r="J25" s="95"/>
      <c r="K25" s="96"/>
      <c r="L25" s="96" t="s">
        <v>426</v>
      </c>
      <c r="M25" s="97"/>
    </row>
    <row r="26" spans="1:13" ht="10.5" customHeight="1">
      <c r="A26" s="72" t="s">
        <v>120</v>
      </c>
      <c r="B26" s="73"/>
      <c r="C26" s="74" t="s">
        <v>91</v>
      </c>
      <c r="D26" s="620">
        <f>+State1!AK40</f>
        <v>8.530832571428572</v>
      </c>
      <c r="E26" s="622">
        <f>+State1!AZ33</f>
        <v>0</v>
      </c>
      <c r="F26" s="76"/>
      <c r="G26" s="620">
        <f>+State1!M40</f>
        <v>4.720000000000001</v>
      </c>
      <c r="H26" s="622">
        <f>+State1!AX33</f>
        <v>0</v>
      </c>
      <c r="I26" s="620">
        <f>+State1!M41</f>
        <v>10</v>
      </c>
      <c r="J26" s="77" t="s">
        <v>103</v>
      </c>
      <c r="K26" s="78">
        <v>0</v>
      </c>
      <c r="L26" s="78" t="s">
        <v>425</v>
      </c>
      <c r="M26" s="79" t="s">
        <v>121</v>
      </c>
    </row>
    <row r="27" spans="1:13" ht="10.5" customHeight="1">
      <c r="A27" s="80" t="s">
        <v>122</v>
      </c>
      <c r="B27" s="81" t="s">
        <v>107</v>
      </c>
      <c r="C27" s="74" t="s">
        <v>108</v>
      </c>
      <c r="D27" s="621"/>
      <c r="E27" s="623"/>
      <c r="F27" s="99" t="s">
        <v>126</v>
      </c>
      <c r="G27" s="621"/>
      <c r="H27" s="623"/>
      <c r="I27" s="621"/>
      <c r="J27" s="78" t="s">
        <v>109</v>
      </c>
      <c r="K27" s="83"/>
      <c r="L27" s="83" t="s">
        <v>426</v>
      </c>
      <c r="M27" s="84"/>
    </row>
    <row r="28" spans="1:13" ht="10.5" customHeight="1">
      <c r="A28" s="72" t="s">
        <v>110</v>
      </c>
      <c r="B28" s="73"/>
      <c r="C28" s="85" t="s">
        <v>111</v>
      </c>
      <c r="D28" s="143">
        <v>150</v>
      </c>
      <c r="E28" s="100">
        <v>200</v>
      </c>
      <c r="F28" s="76" t="s">
        <v>127</v>
      </c>
      <c r="G28" s="86">
        <v>30</v>
      </c>
      <c r="H28" s="86">
        <v>40</v>
      </c>
      <c r="I28" s="86">
        <v>45</v>
      </c>
      <c r="J28" s="78"/>
      <c r="K28" s="87"/>
      <c r="L28" s="87" t="s">
        <v>425</v>
      </c>
      <c r="M28" s="88" t="s">
        <v>121</v>
      </c>
    </row>
    <row r="29" spans="1:13" ht="10.5" customHeight="1">
      <c r="A29" s="89"/>
      <c r="B29" s="90"/>
      <c r="C29" s="91" t="s">
        <v>113</v>
      </c>
      <c r="D29" s="144" t="s">
        <v>125</v>
      </c>
      <c r="E29" s="92" t="s">
        <v>128</v>
      </c>
      <c r="F29" s="93"/>
      <c r="G29" s="94" t="s">
        <v>129</v>
      </c>
      <c r="H29" s="94" t="s">
        <v>128</v>
      </c>
      <c r="I29" s="94" t="s">
        <v>119</v>
      </c>
      <c r="J29" s="95"/>
      <c r="K29" s="96"/>
      <c r="L29" s="96" t="s">
        <v>426</v>
      </c>
      <c r="M29" s="97"/>
    </row>
    <row r="30" spans="1:13" ht="10.5" customHeight="1">
      <c r="A30" s="72" t="s">
        <v>130</v>
      </c>
      <c r="B30" s="73"/>
      <c r="C30" s="74" t="s">
        <v>91</v>
      </c>
      <c r="D30" s="76" t="s">
        <v>102</v>
      </c>
      <c r="E30" s="76" t="s">
        <v>102</v>
      </c>
      <c r="F30" s="76" t="s">
        <v>102</v>
      </c>
      <c r="G30" s="76" t="s">
        <v>102</v>
      </c>
      <c r="H30" s="76" t="s">
        <v>102</v>
      </c>
      <c r="I30" s="629">
        <f>+State1!Q41</f>
        <v>0</v>
      </c>
      <c r="J30" s="77" t="s">
        <v>131</v>
      </c>
      <c r="K30" s="401">
        <f>+DMRVIO!D5</f>
        <v>0</v>
      </c>
      <c r="L30" s="214" t="s">
        <v>402</v>
      </c>
      <c r="M30" s="79" t="s">
        <v>121</v>
      </c>
    </row>
    <row r="31" spans="1:13" ht="10.5" customHeight="1">
      <c r="A31" s="80" t="s">
        <v>132</v>
      </c>
      <c r="B31" s="81" t="s">
        <v>107</v>
      </c>
      <c r="C31" s="74" t="s">
        <v>108</v>
      </c>
      <c r="D31" s="82"/>
      <c r="E31" s="82"/>
      <c r="F31" s="82"/>
      <c r="G31" s="82"/>
      <c r="H31" s="82"/>
      <c r="I31" s="630"/>
      <c r="J31" s="78" t="s">
        <v>133</v>
      </c>
      <c r="K31" s="83"/>
      <c r="L31" s="83"/>
      <c r="M31" s="84"/>
    </row>
    <row r="32" spans="1:13" ht="10.5" customHeight="1">
      <c r="A32" s="72" t="s">
        <v>110</v>
      </c>
      <c r="B32" s="73"/>
      <c r="C32" s="85" t="s">
        <v>111</v>
      </c>
      <c r="D32" s="86" t="s">
        <v>102</v>
      </c>
      <c r="E32" s="86" t="s">
        <v>102</v>
      </c>
      <c r="F32" s="76" t="s">
        <v>102</v>
      </c>
      <c r="G32" s="86" t="s">
        <v>102</v>
      </c>
      <c r="H32" s="86" t="s">
        <v>102</v>
      </c>
      <c r="I32" s="101">
        <v>1</v>
      </c>
      <c r="J32" s="78"/>
      <c r="K32" s="87"/>
      <c r="L32" s="87" t="s">
        <v>112</v>
      </c>
      <c r="M32" s="88" t="s">
        <v>121</v>
      </c>
    </row>
    <row r="33" spans="1:13" ht="10.5" customHeight="1">
      <c r="A33" s="89"/>
      <c r="B33" s="90"/>
      <c r="C33" s="91" t="s">
        <v>113</v>
      </c>
      <c r="D33" s="92"/>
      <c r="E33" s="92"/>
      <c r="F33" s="93"/>
      <c r="G33" s="94"/>
      <c r="H33" s="94"/>
      <c r="I33" s="94" t="s">
        <v>119</v>
      </c>
      <c r="J33" s="95"/>
      <c r="K33" s="96"/>
      <c r="L33" s="96"/>
      <c r="M33" s="97"/>
    </row>
    <row r="34" spans="1:13" ht="10.5" customHeight="1">
      <c r="A34" s="72" t="s">
        <v>134</v>
      </c>
      <c r="B34" s="73"/>
      <c r="C34" s="74" t="s">
        <v>91</v>
      </c>
      <c r="D34" s="620">
        <f>+State1!AM40</f>
        <v>2.03253256</v>
      </c>
      <c r="E34" s="622">
        <f>+State1!BD33</f>
        <v>0</v>
      </c>
      <c r="F34" s="307"/>
      <c r="G34" s="616">
        <f>+State1!W40</f>
        <v>1.0656</v>
      </c>
      <c r="H34" s="631">
        <f>+State1!BB33</f>
        <v>0</v>
      </c>
      <c r="I34" s="616">
        <f>+State1!W41</f>
        <v>3.2</v>
      </c>
      <c r="J34" s="77" t="s">
        <v>103</v>
      </c>
      <c r="K34" s="401">
        <f>+DMRVIO!G5+DMRVIO!G7+DMRVIO!G9+DMRVIO!G11+DMRVIO!G13</f>
        <v>0</v>
      </c>
      <c r="L34" s="78" t="s">
        <v>425</v>
      </c>
      <c r="M34" s="79" t="s">
        <v>121</v>
      </c>
    </row>
    <row r="35" spans="1:13" ht="10.5" customHeight="1">
      <c r="A35" s="80" t="s">
        <v>135</v>
      </c>
      <c r="B35" s="81"/>
      <c r="C35" s="74" t="s">
        <v>108</v>
      </c>
      <c r="D35" s="621"/>
      <c r="E35" s="623"/>
      <c r="F35" s="99" t="s">
        <v>126</v>
      </c>
      <c r="G35" s="617"/>
      <c r="H35" s="632"/>
      <c r="I35" s="617"/>
      <c r="J35" s="78" t="s">
        <v>109</v>
      </c>
      <c r="K35" s="83"/>
      <c r="L35" s="83" t="s">
        <v>426</v>
      </c>
      <c r="M35" s="84"/>
    </row>
    <row r="36" spans="1:13" ht="10.5" customHeight="1">
      <c r="A36" s="80" t="s">
        <v>136</v>
      </c>
      <c r="B36" s="73" t="s">
        <v>203</v>
      </c>
      <c r="C36" s="85" t="s">
        <v>111</v>
      </c>
      <c r="D36" s="86">
        <v>9.5</v>
      </c>
      <c r="E36" s="86">
        <v>14</v>
      </c>
      <c r="F36" s="76" t="s">
        <v>127</v>
      </c>
      <c r="G36" s="86">
        <v>1.9</v>
      </c>
      <c r="H36" s="86">
        <v>2.85</v>
      </c>
      <c r="I36" s="86">
        <v>3.8</v>
      </c>
      <c r="J36" s="78"/>
      <c r="K36" s="87"/>
      <c r="L36" s="87" t="s">
        <v>425</v>
      </c>
      <c r="M36" s="88" t="s">
        <v>121</v>
      </c>
    </row>
    <row r="37" spans="1:13" ht="10.5" customHeight="1">
      <c r="A37" s="89" t="s">
        <v>110</v>
      </c>
      <c r="B37" s="90"/>
      <c r="C37" s="91" t="s">
        <v>113</v>
      </c>
      <c r="D37" s="92" t="s">
        <v>125</v>
      </c>
      <c r="E37" s="92" t="s">
        <v>128</v>
      </c>
      <c r="F37" s="93"/>
      <c r="G37" s="94" t="s">
        <v>129</v>
      </c>
      <c r="H37" s="94" t="s">
        <v>128</v>
      </c>
      <c r="I37" s="94" t="s">
        <v>119</v>
      </c>
      <c r="J37" s="95"/>
      <c r="K37" s="96"/>
      <c r="L37" s="96" t="s">
        <v>426</v>
      </c>
      <c r="M37" s="97"/>
    </row>
    <row r="38" spans="1:13" ht="10.5" customHeight="1">
      <c r="A38" s="303" t="s">
        <v>428</v>
      </c>
      <c r="B38" s="73"/>
      <c r="C38" s="74" t="s">
        <v>91</v>
      </c>
      <c r="D38" s="76" t="s">
        <v>102</v>
      </c>
      <c r="E38" s="76" t="s">
        <v>102</v>
      </c>
      <c r="F38" s="76" t="s">
        <v>102</v>
      </c>
      <c r="G38" s="76" t="s">
        <v>102</v>
      </c>
      <c r="H38" s="614">
        <f>+State1!AA40</f>
        <v>0</v>
      </c>
      <c r="I38" s="614">
        <f>+State1!AA41</f>
        <v>0</v>
      </c>
      <c r="J38" s="77" t="s">
        <v>137</v>
      </c>
      <c r="K38" s="401">
        <f>+DMRVIO!I5+DMRVIO!I7</f>
        <v>0</v>
      </c>
      <c r="L38" s="78" t="s">
        <v>425</v>
      </c>
      <c r="M38" s="79" t="s">
        <v>105</v>
      </c>
    </row>
    <row r="39" spans="1:13" ht="10.5" customHeight="1">
      <c r="A39" s="80" t="s">
        <v>429</v>
      </c>
      <c r="B39" s="81"/>
      <c r="C39" s="74" t="s">
        <v>108</v>
      </c>
      <c r="D39" s="82"/>
      <c r="E39" s="82"/>
      <c r="F39" s="82"/>
      <c r="G39" s="82"/>
      <c r="H39" s="615"/>
      <c r="I39" s="615"/>
      <c r="J39" s="78"/>
      <c r="K39" s="83"/>
      <c r="L39" s="83" t="s">
        <v>426</v>
      </c>
      <c r="M39" s="84"/>
    </row>
    <row r="40" spans="1:13" ht="10.5" customHeight="1">
      <c r="A40" s="80" t="s">
        <v>430</v>
      </c>
      <c r="B40" s="81" t="s">
        <v>107</v>
      </c>
      <c r="C40" s="85" t="s">
        <v>111</v>
      </c>
      <c r="D40" s="86" t="s">
        <v>102</v>
      </c>
      <c r="E40" s="86" t="s">
        <v>102</v>
      </c>
      <c r="F40" s="76" t="s">
        <v>102</v>
      </c>
      <c r="G40" s="86" t="s">
        <v>102</v>
      </c>
      <c r="H40" s="100">
        <v>200</v>
      </c>
      <c r="I40" s="100">
        <v>1000</v>
      </c>
      <c r="J40" s="78" t="s">
        <v>432</v>
      </c>
      <c r="K40" s="87"/>
      <c r="L40" s="87" t="s">
        <v>425</v>
      </c>
      <c r="M40" s="88" t="s">
        <v>105</v>
      </c>
    </row>
    <row r="41" spans="1:13" ht="10.5" customHeight="1">
      <c r="A41" s="89" t="s">
        <v>110</v>
      </c>
      <c r="B41" s="102"/>
      <c r="C41" s="91" t="s">
        <v>113</v>
      </c>
      <c r="D41" s="92"/>
      <c r="E41" s="92"/>
      <c r="F41" s="93"/>
      <c r="G41" s="94"/>
      <c r="H41" s="94" t="s">
        <v>431</v>
      </c>
      <c r="I41" s="94" t="s">
        <v>119</v>
      </c>
      <c r="J41" s="95" t="s">
        <v>433</v>
      </c>
      <c r="K41" s="96"/>
      <c r="L41" s="96" t="s">
        <v>426</v>
      </c>
      <c r="M41" s="97"/>
    </row>
    <row r="42" spans="1:13" ht="10.5" customHeight="1">
      <c r="A42" s="611" t="s">
        <v>493</v>
      </c>
      <c r="B42" s="612"/>
      <c r="C42" s="613"/>
      <c r="D42" s="594" t="s">
        <v>492</v>
      </c>
      <c r="E42" s="595"/>
      <c r="F42" s="596"/>
      <c r="G42" s="599"/>
      <c r="H42" s="600"/>
      <c r="I42" s="104" t="s">
        <v>139</v>
      </c>
      <c r="J42" s="105"/>
      <c r="K42" s="106"/>
      <c r="L42" s="107" t="s">
        <v>140</v>
      </c>
      <c r="M42" s="108"/>
    </row>
    <row r="43" spans="1:13" ht="10.5" customHeight="1">
      <c r="A43" s="605" t="s">
        <v>453</v>
      </c>
      <c r="B43" s="606"/>
      <c r="C43" s="607"/>
      <c r="D43" s="421" t="s">
        <v>141</v>
      </c>
      <c r="E43" s="417"/>
      <c r="F43" s="418"/>
      <c r="G43" s="601"/>
      <c r="H43" s="602"/>
      <c r="I43" s="109" t="s">
        <v>142</v>
      </c>
      <c r="J43" s="35"/>
      <c r="K43" s="1"/>
      <c r="L43" s="109"/>
      <c r="M43" s="3"/>
    </row>
    <row r="44" spans="1:13" ht="10.5" customHeight="1">
      <c r="A44" s="608"/>
      <c r="B44" s="609"/>
      <c r="C44" s="610"/>
      <c r="D44" s="421" t="s">
        <v>143</v>
      </c>
      <c r="E44" s="417"/>
      <c r="F44" s="418"/>
      <c r="G44" s="601"/>
      <c r="H44" s="602"/>
      <c r="I44" s="2" t="s">
        <v>142</v>
      </c>
      <c r="K44" s="1"/>
      <c r="L44" s="2"/>
      <c r="M44" s="3"/>
    </row>
    <row r="45" spans="1:13" ht="16.5" customHeight="1">
      <c r="A45" s="608"/>
      <c r="B45" s="609"/>
      <c r="C45" s="610"/>
      <c r="D45" s="421" t="s">
        <v>144</v>
      </c>
      <c r="E45" s="417"/>
      <c r="F45" s="418"/>
      <c r="G45" s="603"/>
      <c r="H45" s="604"/>
      <c r="I45" s="2" t="s">
        <v>142</v>
      </c>
      <c r="K45" s="1"/>
      <c r="L45" s="2"/>
      <c r="M45" s="3"/>
    </row>
    <row r="46" spans="1:13" ht="22.5" customHeight="1">
      <c r="A46" s="608"/>
      <c r="B46" s="609"/>
      <c r="C46" s="610"/>
      <c r="D46" s="421" t="s">
        <v>494</v>
      </c>
      <c r="E46" s="417"/>
      <c r="F46" s="418"/>
      <c r="G46" s="110" t="s">
        <v>145</v>
      </c>
      <c r="H46" s="4"/>
      <c r="I46" s="425">
        <v>865</v>
      </c>
      <c r="J46" s="109" t="s">
        <v>427</v>
      </c>
      <c r="K46" s="35"/>
      <c r="L46" s="391"/>
      <c r="M46" s="392"/>
    </row>
    <row r="47" spans="1:13" ht="10.5" customHeight="1">
      <c r="A47" s="113"/>
      <c r="B47" s="114" t="s">
        <v>146</v>
      </c>
      <c r="C47" s="108"/>
      <c r="D47" s="422" t="s">
        <v>147</v>
      </c>
      <c r="E47" s="419"/>
      <c r="F47" s="420"/>
      <c r="G47" s="116" t="s">
        <v>148</v>
      </c>
      <c r="H47" s="115"/>
      <c r="I47" s="117" t="s">
        <v>149</v>
      </c>
      <c r="J47" s="118" t="s">
        <v>150</v>
      </c>
      <c r="K47" s="119"/>
      <c r="L47" s="120" t="s">
        <v>486</v>
      </c>
      <c r="M47" s="121" t="s">
        <v>46</v>
      </c>
    </row>
    <row r="48" spans="1:13" ht="10.5" customHeight="1">
      <c r="A48" s="122" t="s">
        <v>413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  <row r="49" spans="1:13" ht="10.5" customHeight="1">
      <c r="A49" s="123" t="s">
        <v>414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1:13" ht="10.5" customHeight="1" thickBot="1">
      <c r="A50" s="633"/>
      <c r="B50" s="633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</row>
    <row r="51" spans="1:13" ht="10.5" customHeight="1" thickTop="1">
      <c r="A51" s="124" t="s">
        <v>197</v>
      </c>
      <c r="B51" s="125"/>
      <c r="C51" s="125"/>
      <c r="D51" s="125"/>
      <c r="E51" s="125"/>
      <c r="F51" s="124" t="s">
        <v>152</v>
      </c>
      <c r="G51" s="125"/>
      <c r="H51" s="125"/>
      <c r="I51" s="125"/>
      <c r="J51" s="125"/>
      <c r="K51" s="126" t="s">
        <v>153</v>
      </c>
      <c r="L51" s="127">
        <v>1</v>
      </c>
      <c r="M51" s="127" t="s">
        <v>401</v>
      </c>
    </row>
    <row r="52" spans="1:12" ht="10.5" customHeight="1">
      <c r="A52" s="21" t="s">
        <v>184</v>
      </c>
      <c r="E52" s="22" t="s">
        <v>62</v>
      </c>
      <c r="F52" s="22"/>
      <c r="G52" s="23"/>
      <c r="H52" s="22"/>
      <c r="I52" s="22"/>
      <c r="J52" s="22"/>
      <c r="K52" s="24"/>
      <c r="L52" s="24"/>
    </row>
    <row r="53" spans="1:13" ht="10.5" customHeight="1">
      <c r="A53" s="25" t="s">
        <v>63</v>
      </c>
      <c r="E53" s="22"/>
      <c r="F53" s="26" t="s">
        <v>185</v>
      </c>
      <c r="G53" s="23"/>
      <c r="H53" s="22"/>
      <c r="I53" s="22"/>
      <c r="K53" s="31" t="s">
        <v>65</v>
      </c>
      <c r="L53" s="31"/>
      <c r="M53" s="31"/>
    </row>
    <row r="54" spans="1:13" ht="10.5" customHeight="1">
      <c r="A54" s="27" t="s">
        <v>64</v>
      </c>
      <c r="B54" s="28" t="str">
        <f aca="true" t="shared" si="0" ref="B54:B59">+B3</f>
        <v>Maynardville WWTP</v>
      </c>
      <c r="E54" s="29" t="s">
        <v>186</v>
      </c>
      <c r="H54" s="30" t="s">
        <v>187</v>
      </c>
      <c r="I54" s="24" t="s">
        <v>399</v>
      </c>
      <c r="K54" s="31" t="s">
        <v>69</v>
      </c>
      <c r="L54" s="31" t="s">
        <v>70</v>
      </c>
      <c r="M54" s="31" t="s">
        <v>71</v>
      </c>
    </row>
    <row r="55" spans="1:10" ht="10.5" customHeight="1">
      <c r="A55" s="27" t="s">
        <v>66</v>
      </c>
      <c r="B55" s="28" t="str">
        <f t="shared" si="0"/>
        <v>P.O. Box 217</v>
      </c>
      <c r="E55" s="32" t="str">
        <f>+E4</f>
        <v>TN0022870</v>
      </c>
      <c r="F55" s="33"/>
      <c r="H55" s="34" t="s">
        <v>67</v>
      </c>
      <c r="I55" s="24" t="s">
        <v>424</v>
      </c>
      <c r="J55" s="24"/>
    </row>
    <row r="56" spans="1:12" ht="10.5" customHeight="1">
      <c r="A56" s="24"/>
      <c r="B56" s="28" t="str">
        <f t="shared" si="0"/>
        <v>Maynardville,  TN  37807</v>
      </c>
      <c r="E56" s="36" t="s">
        <v>72</v>
      </c>
      <c r="F56" s="37"/>
      <c r="H56" s="38" t="s">
        <v>73</v>
      </c>
      <c r="I56" s="35" t="s">
        <v>68</v>
      </c>
      <c r="L56" s="35"/>
    </row>
    <row r="57" spans="1:9" ht="10.5" customHeight="1">
      <c r="A57" s="24"/>
      <c r="B57" s="28">
        <f t="shared" si="0"/>
        <v>0</v>
      </c>
      <c r="I57" s="24" t="s">
        <v>74</v>
      </c>
    </row>
    <row r="58" spans="1:9" ht="10.5" customHeight="1">
      <c r="A58" s="26" t="s">
        <v>75</v>
      </c>
      <c r="B58" s="28" t="str">
        <f t="shared" si="0"/>
        <v>Maynardville STP</v>
      </c>
      <c r="E58" s="39"/>
      <c r="F58" s="40" t="s">
        <v>76</v>
      </c>
      <c r="G58" s="4"/>
      <c r="H58" s="41"/>
      <c r="I58" s="24" t="s">
        <v>424</v>
      </c>
    </row>
    <row r="59" spans="1:9" ht="10.5" customHeight="1">
      <c r="A59" s="27" t="s">
        <v>77</v>
      </c>
      <c r="B59" s="28" t="str">
        <f t="shared" si="0"/>
        <v>Maynardville,  TN  37807</v>
      </c>
      <c r="E59" s="42" t="s">
        <v>78</v>
      </c>
      <c r="F59" s="43" t="s">
        <v>79</v>
      </c>
      <c r="G59" s="42" t="s">
        <v>80</v>
      </c>
      <c r="H59" s="44" t="s">
        <v>81</v>
      </c>
      <c r="I59" s="24"/>
    </row>
    <row r="60" spans="4:11" ht="10.5" customHeight="1">
      <c r="D60" s="46"/>
      <c r="E60" s="415">
        <f>+E9</f>
        <v>0</v>
      </c>
      <c r="F60" s="47">
        <f>+F9</f>
        <v>1</v>
      </c>
      <c r="G60" s="415">
        <f>+G9</f>
        <v>0</v>
      </c>
      <c r="H60" s="212">
        <f>+H9</f>
        <v>0</v>
      </c>
      <c r="I60" s="24" t="s">
        <v>82</v>
      </c>
      <c r="J60" s="45"/>
      <c r="K60" t="s">
        <v>83</v>
      </c>
    </row>
    <row r="61" spans="1:10" ht="10.5" customHeight="1">
      <c r="A61" t="str">
        <f>+A43</f>
        <v>Michael Payne - Utility Director</v>
      </c>
      <c r="D61" s="48"/>
      <c r="E61" s="49" t="s">
        <v>84</v>
      </c>
      <c r="F61" s="50" t="s">
        <v>188</v>
      </c>
      <c r="G61" s="49" t="s">
        <v>85</v>
      </c>
      <c r="H61" s="49" t="s">
        <v>86</v>
      </c>
      <c r="I61" s="51" t="s">
        <v>87</v>
      </c>
      <c r="J61" s="52"/>
    </row>
    <row r="62" spans="1:13" ht="10.5" customHeight="1">
      <c r="A62" s="53"/>
      <c r="B62" s="54"/>
      <c r="C62" s="55"/>
      <c r="D62" s="56" t="s">
        <v>189</v>
      </c>
      <c r="E62" s="54"/>
      <c r="F62" s="57"/>
      <c r="G62" s="58" t="s">
        <v>190</v>
      </c>
      <c r="H62" s="59" t="s">
        <v>88</v>
      </c>
      <c r="I62" s="4"/>
      <c r="J62" s="57"/>
      <c r="K62" s="60" t="s">
        <v>89</v>
      </c>
      <c r="L62" s="60" t="s">
        <v>90</v>
      </c>
      <c r="M62" s="60" t="s">
        <v>91</v>
      </c>
    </row>
    <row r="63" spans="1:13" ht="10.5" customHeight="1">
      <c r="A63" s="61" t="s">
        <v>92</v>
      </c>
      <c r="C63" s="62"/>
      <c r="D63" s="63" t="s">
        <v>191</v>
      </c>
      <c r="E63" s="52" t="s">
        <v>192</v>
      </c>
      <c r="F63" s="3"/>
      <c r="G63" s="52" t="s">
        <v>193</v>
      </c>
      <c r="H63" s="52" t="s">
        <v>191</v>
      </c>
      <c r="I63" s="52" t="s">
        <v>192</v>
      </c>
      <c r="J63" s="64"/>
      <c r="K63" s="65" t="s">
        <v>93</v>
      </c>
      <c r="L63" s="65" t="s">
        <v>94</v>
      </c>
      <c r="M63" s="65" t="s">
        <v>95</v>
      </c>
    </row>
    <row r="64" spans="1:13" ht="10.5" customHeight="1">
      <c r="A64" s="66"/>
      <c r="B64" s="67" t="s">
        <v>96</v>
      </c>
      <c r="C64" s="68"/>
      <c r="D64" s="69" t="s">
        <v>97</v>
      </c>
      <c r="E64" s="70" t="s">
        <v>98</v>
      </c>
      <c r="F64" s="70" t="s">
        <v>99</v>
      </c>
      <c r="G64" s="70" t="s">
        <v>100</v>
      </c>
      <c r="H64" s="70" t="s">
        <v>97</v>
      </c>
      <c r="I64" s="70" t="s">
        <v>98</v>
      </c>
      <c r="J64" s="70" t="s">
        <v>99</v>
      </c>
      <c r="K64" s="71" t="s">
        <v>194</v>
      </c>
      <c r="L64" s="71" t="s">
        <v>195</v>
      </c>
      <c r="M64" s="71" t="s">
        <v>196</v>
      </c>
    </row>
    <row r="65" spans="1:13" ht="10.5" customHeight="1">
      <c r="A65" s="303" t="s">
        <v>454</v>
      </c>
      <c r="B65" s="73"/>
      <c r="C65" s="74" t="s">
        <v>91</v>
      </c>
      <c r="D65" s="76" t="s">
        <v>102</v>
      </c>
      <c r="E65" s="76" t="s">
        <v>102</v>
      </c>
      <c r="F65" s="76" t="s">
        <v>102</v>
      </c>
      <c r="G65" s="75" t="s">
        <v>102</v>
      </c>
      <c r="H65" s="590">
        <f>+State1!Z40</f>
        <v>1.5875</v>
      </c>
      <c r="I65" s="75" t="s">
        <v>102</v>
      </c>
      <c r="J65" s="77" t="s">
        <v>102</v>
      </c>
      <c r="K65" s="401" t="str">
        <f>+DMRVIO!H7</f>
        <v>0</v>
      </c>
      <c r="L65" s="78" t="s">
        <v>425</v>
      </c>
      <c r="M65" s="79" t="s">
        <v>105</v>
      </c>
    </row>
    <row r="66" spans="1:13" ht="10.5" customHeight="1">
      <c r="A66" s="80"/>
      <c r="B66" s="81"/>
      <c r="C66" s="74" t="s">
        <v>108</v>
      </c>
      <c r="D66" s="82"/>
      <c r="E66" s="82"/>
      <c r="F66" s="82"/>
      <c r="G66" s="82"/>
      <c r="H66" s="591"/>
      <c r="I66" s="82"/>
      <c r="J66" s="78"/>
      <c r="K66" s="83"/>
      <c r="L66" s="83" t="s">
        <v>426</v>
      </c>
      <c r="M66" s="84"/>
    </row>
    <row r="67" spans="1:13" ht="10.5" customHeight="1">
      <c r="A67" s="80" t="s">
        <v>455</v>
      </c>
      <c r="B67" s="81" t="s">
        <v>107</v>
      </c>
      <c r="C67" s="85" t="s">
        <v>111</v>
      </c>
      <c r="D67" s="86" t="s">
        <v>102</v>
      </c>
      <c r="E67" s="86" t="s">
        <v>102</v>
      </c>
      <c r="F67" s="76" t="s">
        <v>102</v>
      </c>
      <c r="G67" s="86" t="s">
        <v>102</v>
      </c>
      <c r="H67" s="86">
        <v>126</v>
      </c>
      <c r="I67" s="86" t="s">
        <v>102</v>
      </c>
      <c r="J67" s="78"/>
      <c r="K67" s="87"/>
      <c r="L67" s="87" t="s">
        <v>425</v>
      </c>
      <c r="M67" s="88" t="s">
        <v>105</v>
      </c>
    </row>
    <row r="68" spans="1:13" ht="10.5" customHeight="1">
      <c r="A68" s="89" t="s">
        <v>110</v>
      </c>
      <c r="B68" s="102"/>
      <c r="C68" s="91" t="s">
        <v>113</v>
      </c>
      <c r="D68" s="94"/>
      <c r="E68" s="94"/>
      <c r="F68" s="93"/>
      <c r="G68" s="94"/>
      <c r="H68" s="94" t="s">
        <v>129</v>
      </c>
      <c r="I68" s="94"/>
      <c r="J68" s="95"/>
      <c r="K68" s="96"/>
      <c r="L68" s="96" t="s">
        <v>426</v>
      </c>
      <c r="M68" s="97"/>
    </row>
    <row r="69" spans="1:13" ht="10.5" customHeight="1">
      <c r="A69" s="72" t="s">
        <v>154</v>
      </c>
      <c r="B69" s="73"/>
      <c r="C69" s="74" t="s">
        <v>91</v>
      </c>
      <c r="D69" s="626">
        <f>+State1!AF40</f>
        <v>0.22643333333333335</v>
      </c>
      <c r="E69" s="626">
        <f>+State1!AF41</f>
        <v>0.43</v>
      </c>
      <c r="F69" s="99" t="s">
        <v>155</v>
      </c>
      <c r="G69" s="75" t="s">
        <v>102</v>
      </c>
      <c r="H69" s="75" t="s">
        <v>102</v>
      </c>
      <c r="I69" s="75" t="s">
        <v>102</v>
      </c>
      <c r="J69" s="77" t="s">
        <v>102</v>
      </c>
      <c r="K69" s="78">
        <v>0</v>
      </c>
      <c r="L69" s="78" t="s">
        <v>104</v>
      </c>
      <c r="M69" s="79" t="s">
        <v>156</v>
      </c>
    </row>
    <row r="70" spans="1:13" ht="10.5" customHeight="1">
      <c r="A70" s="128" t="s">
        <v>157</v>
      </c>
      <c r="B70" s="73"/>
      <c r="C70" s="74" t="s">
        <v>108</v>
      </c>
      <c r="D70" s="627"/>
      <c r="E70" s="627"/>
      <c r="F70" s="82" t="s">
        <v>58</v>
      </c>
      <c r="G70" s="82"/>
      <c r="H70" s="82"/>
      <c r="I70" s="82"/>
      <c r="J70" s="78"/>
      <c r="K70" s="83"/>
      <c r="L70" s="83"/>
      <c r="M70" s="84"/>
    </row>
    <row r="71" spans="1:13" ht="10.5" customHeight="1">
      <c r="A71" s="128">
        <v>50050</v>
      </c>
      <c r="B71" s="73" t="s">
        <v>158</v>
      </c>
      <c r="C71" s="85" t="s">
        <v>111</v>
      </c>
      <c r="D71" s="86" t="s">
        <v>124</v>
      </c>
      <c r="E71" s="86" t="s">
        <v>124</v>
      </c>
      <c r="F71" s="76"/>
      <c r="G71" s="86" t="s">
        <v>102</v>
      </c>
      <c r="H71" s="86" t="s">
        <v>102</v>
      </c>
      <c r="I71" s="86" t="s">
        <v>102</v>
      </c>
      <c r="J71" s="78"/>
      <c r="K71" s="87"/>
      <c r="L71" s="87" t="s">
        <v>104</v>
      </c>
      <c r="M71" s="88" t="s">
        <v>156</v>
      </c>
    </row>
    <row r="72" spans="1:13" ht="10.5" customHeight="1">
      <c r="A72" s="89" t="s">
        <v>159</v>
      </c>
      <c r="B72" s="90"/>
      <c r="C72" s="91" t="s">
        <v>113</v>
      </c>
      <c r="D72" s="129" t="s">
        <v>125</v>
      </c>
      <c r="E72" s="129" t="s">
        <v>119</v>
      </c>
      <c r="F72" s="93"/>
      <c r="G72" s="94"/>
      <c r="H72" s="94"/>
      <c r="I72" s="94"/>
      <c r="J72" s="95"/>
      <c r="K72" s="96"/>
      <c r="L72" s="96"/>
      <c r="M72" s="97"/>
    </row>
    <row r="73" spans="1:13" ht="10.5" customHeight="1">
      <c r="A73" s="72" t="s">
        <v>154</v>
      </c>
      <c r="B73" s="73"/>
      <c r="C73" s="74" t="s">
        <v>91</v>
      </c>
      <c r="D73" s="626">
        <f>+State1!AG40</f>
        <v>0.22789999999999996</v>
      </c>
      <c r="E73" s="626">
        <f>+State1!AG41</f>
        <v>0.372</v>
      </c>
      <c r="F73" s="99" t="s">
        <v>155</v>
      </c>
      <c r="G73" s="75" t="s">
        <v>102</v>
      </c>
      <c r="H73" s="75" t="s">
        <v>102</v>
      </c>
      <c r="I73" s="75" t="s">
        <v>102</v>
      </c>
      <c r="J73" s="77" t="s">
        <v>103</v>
      </c>
      <c r="K73" s="78">
        <v>0</v>
      </c>
      <c r="L73" s="78" t="s">
        <v>104</v>
      </c>
      <c r="M73" s="79" t="s">
        <v>156</v>
      </c>
    </row>
    <row r="74" spans="1:13" ht="10.5" customHeight="1">
      <c r="A74" s="128" t="s">
        <v>157</v>
      </c>
      <c r="B74" s="73"/>
      <c r="C74" s="74" t="s">
        <v>108</v>
      </c>
      <c r="D74" s="627"/>
      <c r="E74" s="627"/>
      <c r="F74" s="82" t="s">
        <v>58</v>
      </c>
      <c r="G74" s="82"/>
      <c r="H74" s="82"/>
      <c r="J74" s="78" t="s">
        <v>109</v>
      </c>
      <c r="K74" s="83"/>
      <c r="L74" s="83"/>
      <c r="M74" s="84"/>
    </row>
    <row r="75" spans="1:13" ht="10.5" customHeight="1">
      <c r="A75" s="128">
        <v>50050</v>
      </c>
      <c r="B75" s="73" t="s">
        <v>160</v>
      </c>
      <c r="C75" s="85" t="s">
        <v>111</v>
      </c>
      <c r="D75" s="86" t="s">
        <v>124</v>
      </c>
      <c r="E75" s="86" t="s">
        <v>124</v>
      </c>
      <c r="F75" s="76" t="s">
        <v>102</v>
      </c>
      <c r="G75" s="86" t="s">
        <v>102</v>
      </c>
      <c r="H75" s="86" t="s">
        <v>102</v>
      </c>
      <c r="I75" s="86" t="s">
        <v>102</v>
      </c>
      <c r="J75" s="78"/>
      <c r="K75" s="87"/>
      <c r="L75" s="87" t="s">
        <v>104</v>
      </c>
      <c r="M75" s="88" t="s">
        <v>156</v>
      </c>
    </row>
    <row r="76" spans="1:13" ht="10.5" customHeight="1">
      <c r="A76" s="89" t="s">
        <v>110</v>
      </c>
      <c r="B76" s="90"/>
      <c r="C76" s="91" t="s">
        <v>113</v>
      </c>
      <c r="D76" s="129" t="s">
        <v>125</v>
      </c>
      <c r="E76" s="129" t="s">
        <v>119</v>
      </c>
      <c r="F76" s="93"/>
      <c r="G76" s="94"/>
      <c r="H76" s="94"/>
      <c r="I76" s="94"/>
      <c r="J76" s="95"/>
      <c r="K76" s="96"/>
      <c r="L76" s="96"/>
      <c r="M76" s="97"/>
    </row>
    <row r="77" spans="1:13" ht="10.5" customHeight="1">
      <c r="A77" s="72" t="s">
        <v>161</v>
      </c>
      <c r="B77" s="73"/>
      <c r="C77" s="74" t="s">
        <v>91</v>
      </c>
      <c r="D77" s="76" t="s">
        <v>102</v>
      </c>
      <c r="E77" s="76" t="s">
        <v>102</v>
      </c>
      <c r="F77" s="76" t="s">
        <v>102</v>
      </c>
      <c r="G77" s="75" t="s">
        <v>102</v>
      </c>
      <c r="H77" s="75" t="s">
        <v>102</v>
      </c>
      <c r="I77" s="616">
        <f>+State1!AB41</f>
        <v>0.02</v>
      </c>
      <c r="J77" s="77" t="s">
        <v>102</v>
      </c>
      <c r="K77" s="401">
        <f>+DMRVIO!J5</f>
        <v>0</v>
      </c>
      <c r="L77" s="214" t="s">
        <v>402</v>
      </c>
      <c r="M77" s="79" t="s">
        <v>105</v>
      </c>
    </row>
    <row r="78" spans="1:13" ht="10.5" customHeight="1">
      <c r="A78" s="80" t="s">
        <v>162</v>
      </c>
      <c r="B78" s="81"/>
      <c r="C78" s="74" t="s">
        <v>108</v>
      </c>
      <c r="D78" s="82"/>
      <c r="E78" s="82"/>
      <c r="F78" s="82"/>
      <c r="G78" s="82"/>
      <c r="H78" s="82"/>
      <c r="I78" s="617"/>
      <c r="J78" s="78"/>
      <c r="K78" s="83"/>
      <c r="L78" s="83"/>
      <c r="M78" s="84"/>
    </row>
    <row r="79" spans="1:13" ht="10.5" customHeight="1">
      <c r="A79" s="128">
        <v>50060</v>
      </c>
      <c r="B79" s="73" t="s">
        <v>160</v>
      </c>
      <c r="C79" s="85" t="s">
        <v>111</v>
      </c>
      <c r="D79" s="86" t="s">
        <v>102</v>
      </c>
      <c r="E79" s="86" t="s">
        <v>102</v>
      </c>
      <c r="F79" s="76" t="s">
        <v>102</v>
      </c>
      <c r="G79" s="86" t="s">
        <v>102</v>
      </c>
      <c r="H79" s="86" t="s">
        <v>102</v>
      </c>
      <c r="I79" s="86">
        <v>0.03</v>
      </c>
      <c r="J79" s="78"/>
      <c r="K79" s="87"/>
      <c r="L79" s="87" t="s">
        <v>112</v>
      </c>
      <c r="M79" s="88" t="s">
        <v>105</v>
      </c>
    </row>
    <row r="80" spans="1:13" ht="10.5" customHeight="1">
      <c r="A80" s="89" t="s">
        <v>110</v>
      </c>
      <c r="B80" s="90"/>
      <c r="C80" s="91" t="s">
        <v>113</v>
      </c>
      <c r="D80" s="94"/>
      <c r="E80" s="94"/>
      <c r="F80" s="93"/>
      <c r="G80" s="94"/>
      <c r="H80" s="94"/>
      <c r="I80" s="94" t="s">
        <v>456</v>
      </c>
      <c r="J80" s="95"/>
      <c r="K80" s="96"/>
      <c r="L80" s="96"/>
      <c r="M80" s="97"/>
    </row>
    <row r="81" spans="1:13" ht="10.5" customHeight="1">
      <c r="A81" s="72" t="s">
        <v>408</v>
      </c>
      <c r="B81" s="73"/>
      <c r="C81" s="74" t="s">
        <v>91</v>
      </c>
      <c r="D81" s="76" t="s">
        <v>102</v>
      </c>
      <c r="E81" s="618">
        <f>+K81</f>
        <v>0</v>
      </c>
      <c r="F81" s="99" t="s">
        <v>169</v>
      </c>
      <c r="G81" s="75" t="s">
        <v>102</v>
      </c>
      <c r="H81" s="75" t="s">
        <v>102</v>
      </c>
      <c r="I81" s="75" t="s">
        <v>102</v>
      </c>
      <c r="J81" s="77" t="s">
        <v>102</v>
      </c>
      <c r="K81" s="401">
        <f>+Overflows!D4</f>
        <v>0</v>
      </c>
      <c r="L81" s="79" t="s">
        <v>410</v>
      </c>
      <c r="M81" s="79" t="s">
        <v>166</v>
      </c>
    </row>
    <row r="82" spans="1:13" ht="10.5" customHeight="1">
      <c r="A82" s="128" t="s">
        <v>407</v>
      </c>
      <c r="B82" s="73"/>
      <c r="C82" s="74" t="s">
        <v>108</v>
      </c>
      <c r="D82" s="82"/>
      <c r="E82" s="619"/>
      <c r="F82" s="76" t="s">
        <v>171</v>
      </c>
      <c r="G82" s="82"/>
      <c r="H82" s="82"/>
      <c r="I82" s="82"/>
      <c r="J82" s="78"/>
      <c r="K82" s="83"/>
      <c r="L82" s="84" t="s">
        <v>411</v>
      </c>
      <c r="M82" s="84"/>
    </row>
    <row r="83" spans="1:13" ht="10.5" customHeight="1">
      <c r="A83" s="306" t="s">
        <v>409</v>
      </c>
      <c r="B83" s="73" t="s">
        <v>168</v>
      </c>
      <c r="C83" s="85" t="s">
        <v>111</v>
      </c>
      <c r="D83" s="86" t="s">
        <v>102</v>
      </c>
      <c r="E83" s="86" t="s">
        <v>124</v>
      </c>
      <c r="F83" s="93" t="s">
        <v>173</v>
      </c>
      <c r="G83" s="86" t="s">
        <v>102</v>
      </c>
      <c r="H83" s="86" t="s">
        <v>102</v>
      </c>
      <c r="I83" s="86" t="s">
        <v>102</v>
      </c>
      <c r="J83" s="78"/>
      <c r="K83" s="87"/>
      <c r="L83" s="88" t="s">
        <v>412</v>
      </c>
      <c r="M83" s="88" t="s">
        <v>166</v>
      </c>
    </row>
    <row r="84" spans="1:13" ht="10.5" customHeight="1">
      <c r="A84" s="89" t="s">
        <v>170</v>
      </c>
      <c r="B84" s="90"/>
      <c r="C84" s="91" t="s">
        <v>113</v>
      </c>
      <c r="D84" s="94"/>
      <c r="E84" s="92" t="s">
        <v>172</v>
      </c>
      <c r="F84" s="93"/>
      <c r="G84" s="94"/>
      <c r="H84" s="94"/>
      <c r="I84" s="94"/>
      <c r="J84" s="95"/>
      <c r="K84" s="96"/>
      <c r="L84" s="96" t="s">
        <v>411</v>
      </c>
      <c r="M84" s="97"/>
    </row>
    <row r="85" spans="1:13" ht="10.5" customHeight="1">
      <c r="A85" s="72" t="s">
        <v>408</v>
      </c>
      <c r="B85" s="73"/>
      <c r="C85" s="74" t="s">
        <v>91</v>
      </c>
      <c r="D85" s="75" t="s">
        <v>102</v>
      </c>
      <c r="E85" s="618">
        <f>+K85</f>
        <v>0</v>
      </c>
      <c r="F85" s="99" t="s">
        <v>169</v>
      </c>
      <c r="G85" s="75" t="s">
        <v>102</v>
      </c>
      <c r="H85" s="75" t="s">
        <v>102</v>
      </c>
      <c r="I85" s="75" t="s">
        <v>102</v>
      </c>
      <c r="J85" s="77" t="s">
        <v>102</v>
      </c>
      <c r="K85" s="401">
        <f>+Overflows!I4</f>
        <v>0</v>
      </c>
      <c r="L85" s="79" t="s">
        <v>410</v>
      </c>
      <c r="M85" s="79" t="s">
        <v>166</v>
      </c>
    </row>
    <row r="86" spans="1:13" ht="10.5" customHeight="1">
      <c r="A86" s="128" t="s">
        <v>407</v>
      </c>
      <c r="B86" s="73"/>
      <c r="C86" s="74" t="s">
        <v>108</v>
      </c>
      <c r="D86" s="82"/>
      <c r="E86" s="619"/>
      <c r="F86" s="76" t="s">
        <v>171</v>
      </c>
      <c r="G86" s="82"/>
      <c r="H86" s="82"/>
      <c r="I86" s="82"/>
      <c r="J86" s="78"/>
      <c r="K86" s="83"/>
      <c r="L86" s="84" t="s">
        <v>411</v>
      </c>
      <c r="M86" s="84"/>
    </row>
    <row r="87" spans="1:13" ht="10.5" customHeight="1">
      <c r="A87" s="306" t="s">
        <v>409</v>
      </c>
      <c r="B87" s="73" t="s">
        <v>403</v>
      </c>
      <c r="C87" s="85" t="s">
        <v>111</v>
      </c>
      <c r="D87" s="100" t="s">
        <v>102</v>
      </c>
      <c r="E87" s="86" t="s">
        <v>124</v>
      </c>
      <c r="F87" s="93" t="s">
        <v>173</v>
      </c>
      <c r="G87" s="86" t="s">
        <v>102</v>
      </c>
      <c r="H87" s="86" t="s">
        <v>102</v>
      </c>
      <c r="I87" s="86" t="s">
        <v>102</v>
      </c>
      <c r="J87" s="78"/>
      <c r="K87" s="87"/>
      <c r="L87" s="88" t="s">
        <v>412</v>
      </c>
      <c r="M87" s="88" t="s">
        <v>166</v>
      </c>
    </row>
    <row r="88" spans="1:13" ht="10.5" customHeight="1">
      <c r="A88" s="89" t="s">
        <v>170</v>
      </c>
      <c r="B88" s="90"/>
      <c r="C88" s="91" t="s">
        <v>113</v>
      </c>
      <c r="D88" s="92"/>
      <c r="E88" s="92" t="s">
        <v>172</v>
      </c>
      <c r="F88" s="93"/>
      <c r="G88" s="94"/>
      <c r="H88" s="94"/>
      <c r="I88" s="94"/>
      <c r="J88" s="95"/>
      <c r="K88" s="96"/>
      <c r="L88" s="96" t="s">
        <v>411</v>
      </c>
      <c r="M88" s="97"/>
    </row>
    <row r="89" spans="1:13" ht="10.5" customHeight="1">
      <c r="A89" s="72" t="s">
        <v>163</v>
      </c>
      <c r="B89" s="73"/>
      <c r="C89" s="74" t="s">
        <v>91</v>
      </c>
      <c r="D89" s="614"/>
      <c r="E89" s="614"/>
      <c r="F89" s="76" t="s">
        <v>102</v>
      </c>
      <c r="G89" s="75" t="s">
        <v>102</v>
      </c>
      <c r="H89" s="620">
        <f>+State1!H40</f>
        <v>278.42400000000004</v>
      </c>
      <c r="I89" s="624">
        <f>+State1!H41</f>
        <v>356.5</v>
      </c>
      <c r="J89" s="77" t="s">
        <v>103</v>
      </c>
      <c r="K89" s="78">
        <v>0</v>
      </c>
      <c r="L89" s="78" t="s">
        <v>425</v>
      </c>
      <c r="M89" s="79" t="s">
        <v>121</v>
      </c>
    </row>
    <row r="90" spans="1:13" ht="10.5" customHeight="1">
      <c r="A90" s="80" t="s">
        <v>164</v>
      </c>
      <c r="B90" s="81"/>
      <c r="C90" s="74" t="s">
        <v>108</v>
      </c>
      <c r="D90" s="615"/>
      <c r="E90" s="615"/>
      <c r="F90" s="82"/>
      <c r="G90" s="82"/>
      <c r="H90" s="621"/>
      <c r="I90" s="625"/>
      <c r="J90" s="78" t="s">
        <v>109</v>
      </c>
      <c r="K90" s="83"/>
      <c r="L90" s="83" t="s">
        <v>426</v>
      </c>
      <c r="M90" s="84"/>
    </row>
    <row r="91" spans="1:13" ht="10.5" customHeight="1">
      <c r="A91" s="128">
        <v>80082</v>
      </c>
      <c r="B91" s="73" t="s">
        <v>158</v>
      </c>
      <c r="C91" s="85" t="s">
        <v>111</v>
      </c>
      <c r="D91" s="86"/>
      <c r="E91" s="86"/>
      <c r="F91" s="76" t="s">
        <v>102</v>
      </c>
      <c r="G91" s="86" t="s">
        <v>102</v>
      </c>
      <c r="H91" s="86" t="s">
        <v>124</v>
      </c>
      <c r="I91" s="86" t="s">
        <v>124</v>
      </c>
      <c r="J91" s="78"/>
      <c r="K91" s="87"/>
      <c r="L91" s="87" t="s">
        <v>425</v>
      </c>
      <c r="M91" s="88" t="s">
        <v>121</v>
      </c>
    </row>
    <row r="92" spans="1:13" ht="10.5" customHeight="1">
      <c r="A92" s="89" t="s">
        <v>159</v>
      </c>
      <c r="B92" s="90"/>
      <c r="C92" s="91" t="s">
        <v>113</v>
      </c>
      <c r="D92" s="92"/>
      <c r="E92" s="92"/>
      <c r="F92" s="93"/>
      <c r="G92" s="94"/>
      <c r="H92" s="94" t="s">
        <v>125</v>
      </c>
      <c r="I92" s="94" t="s">
        <v>457</v>
      </c>
      <c r="J92" s="95"/>
      <c r="K92" s="96"/>
      <c r="L92" s="96" t="s">
        <v>426</v>
      </c>
      <c r="M92" s="97"/>
    </row>
    <row r="93" spans="1:13" ht="10.5" customHeight="1">
      <c r="A93" s="103" t="s">
        <v>495</v>
      </c>
      <c r="C93" s="3"/>
      <c r="D93" s="421" t="s">
        <v>138</v>
      </c>
      <c r="F93" s="3"/>
      <c r="G93" s="599"/>
      <c r="H93" s="600"/>
      <c r="I93" s="104" t="s">
        <v>139</v>
      </c>
      <c r="J93" s="105"/>
      <c r="K93" s="106"/>
      <c r="L93" s="107" t="s">
        <v>140</v>
      </c>
      <c r="M93" s="108"/>
    </row>
    <row r="94" spans="1:13" ht="10.5" customHeight="1">
      <c r="A94" s="605" t="str">
        <f>+A43</f>
        <v>Michael Payne - Utility Director</v>
      </c>
      <c r="B94" s="606"/>
      <c r="C94" s="607"/>
      <c r="D94" s="421" t="s">
        <v>141</v>
      </c>
      <c r="F94" s="3"/>
      <c r="G94" s="601"/>
      <c r="H94" s="602"/>
      <c r="I94" s="109" t="s">
        <v>142</v>
      </c>
      <c r="J94" s="35"/>
      <c r="K94" s="1"/>
      <c r="L94" s="109"/>
      <c r="M94" s="3"/>
    </row>
    <row r="95" spans="1:13" ht="10.5" customHeight="1">
      <c r="A95" s="608"/>
      <c r="B95" s="609"/>
      <c r="C95" s="610"/>
      <c r="D95" s="421" t="s">
        <v>143</v>
      </c>
      <c r="F95" s="3"/>
      <c r="G95" s="601"/>
      <c r="H95" s="602"/>
      <c r="I95" s="2" t="s">
        <v>142</v>
      </c>
      <c r="K95" s="1"/>
      <c r="L95" s="2"/>
      <c r="M95" s="3"/>
    </row>
    <row r="96" spans="1:13" ht="10.5" customHeight="1">
      <c r="A96" s="608"/>
      <c r="B96" s="609"/>
      <c r="C96" s="610"/>
      <c r="D96" s="421" t="s">
        <v>144</v>
      </c>
      <c r="F96" s="3"/>
      <c r="G96" s="603"/>
      <c r="H96" s="604"/>
      <c r="I96" s="2" t="s">
        <v>142</v>
      </c>
      <c r="K96" s="1"/>
      <c r="L96" s="2"/>
      <c r="M96" s="3"/>
    </row>
    <row r="97" spans="1:13" ht="10.5" customHeight="1">
      <c r="A97" s="608"/>
      <c r="B97" s="609"/>
      <c r="C97" s="610"/>
      <c r="D97" s="421" t="s">
        <v>494</v>
      </c>
      <c r="F97" s="3"/>
      <c r="G97" s="110" t="s">
        <v>145</v>
      </c>
      <c r="H97" s="4"/>
      <c r="I97" s="425">
        <f>+I46</f>
        <v>865</v>
      </c>
      <c r="J97" s="109" t="str">
        <f>+J46</f>
        <v>992-3821</v>
      </c>
      <c r="K97" s="35"/>
      <c r="L97" s="111">
        <f>+L46</f>
        <v>0</v>
      </c>
      <c r="M97" s="112">
        <f>+M46</f>
        <v>0</v>
      </c>
    </row>
    <row r="98" spans="1:13" ht="10.5" customHeight="1">
      <c r="A98" s="113"/>
      <c r="B98" s="114" t="s">
        <v>146</v>
      </c>
      <c r="C98" s="108"/>
      <c r="D98" s="422" t="s">
        <v>147</v>
      </c>
      <c r="E98" s="115"/>
      <c r="F98" s="108"/>
      <c r="G98" s="116" t="s">
        <v>148</v>
      </c>
      <c r="H98" s="115"/>
      <c r="I98" s="117" t="s">
        <v>149</v>
      </c>
      <c r="J98" s="118" t="s">
        <v>150</v>
      </c>
      <c r="K98" s="119"/>
      <c r="L98" s="120" t="s">
        <v>151</v>
      </c>
      <c r="M98" s="121" t="s">
        <v>46</v>
      </c>
    </row>
    <row r="99" ht="10.5" customHeight="1">
      <c r="A99" s="27" t="str">
        <f>+A48</f>
        <v>BYPASSING IS ANY DIVERSION OF THE WASTEWATER TREATMENT FACILITY AND FOR OVERFLOWS OF THE COLLECTION</v>
      </c>
    </row>
    <row r="100" ht="10.5" customHeight="1">
      <c r="A100" s="27" t="str">
        <f>+A49</f>
        <v>SYSTEM:  T = WET WEATHER OCCURANCES AND U = ALL OTHER OCCURANCES</v>
      </c>
    </row>
    <row r="101" spans="1:13" ht="10.5" customHeight="1" thickBot="1">
      <c r="A101" s="628"/>
      <c r="B101" s="628"/>
      <c r="C101" s="628"/>
      <c r="D101" s="628"/>
      <c r="E101" s="628"/>
      <c r="F101" s="628"/>
      <c r="G101" s="628"/>
      <c r="H101" s="628"/>
      <c r="I101" s="628"/>
      <c r="J101" s="628"/>
      <c r="K101" s="628"/>
      <c r="L101" s="628"/>
      <c r="M101" s="628"/>
    </row>
    <row r="102" spans="1:13" ht="10.5" customHeight="1" thickTop="1">
      <c r="A102" s="124" t="s">
        <v>197</v>
      </c>
      <c r="B102" s="125"/>
      <c r="C102" s="125"/>
      <c r="D102" s="125"/>
      <c r="E102" s="125"/>
      <c r="F102" s="124" t="s">
        <v>152</v>
      </c>
      <c r="G102" s="125"/>
      <c r="H102" s="125"/>
      <c r="I102" s="125"/>
      <c r="J102" s="125"/>
      <c r="K102" s="126" t="s">
        <v>153</v>
      </c>
      <c r="L102" s="127">
        <v>2</v>
      </c>
      <c r="M102" s="127" t="s">
        <v>401</v>
      </c>
    </row>
    <row r="103" spans="1:12" ht="10.5" customHeight="1">
      <c r="A103" s="21" t="s">
        <v>184</v>
      </c>
      <c r="E103" s="22" t="s">
        <v>62</v>
      </c>
      <c r="F103" s="22"/>
      <c r="G103" s="23"/>
      <c r="H103" s="22"/>
      <c r="I103" s="22"/>
      <c r="J103" s="22"/>
      <c r="K103" s="24"/>
      <c r="L103" s="24"/>
    </row>
    <row r="104" spans="1:13" ht="10.5" customHeight="1">
      <c r="A104" s="25" t="s">
        <v>63</v>
      </c>
      <c r="E104" s="22"/>
      <c r="F104" s="26" t="s">
        <v>185</v>
      </c>
      <c r="G104" s="23"/>
      <c r="H104" s="22"/>
      <c r="I104" s="22"/>
      <c r="K104" s="31" t="s">
        <v>65</v>
      </c>
      <c r="L104" s="31"/>
      <c r="M104" s="31"/>
    </row>
    <row r="105" spans="1:13" ht="10.5" customHeight="1">
      <c r="A105" s="27" t="s">
        <v>64</v>
      </c>
      <c r="B105" s="28" t="str">
        <f aca="true" t="shared" si="1" ref="B105:B110">+B54</f>
        <v>Maynardville WWTP</v>
      </c>
      <c r="E105" s="29" t="s">
        <v>186</v>
      </c>
      <c r="H105" s="30" t="s">
        <v>187</v>
      </c>
      <c r="I105" s="24" t="s">
        <v>399</v>
      </c>
      <c r="K105" s="31" t="s">
        <v>69</v>
      </c>
      <c r="L105" s="31" t="s">
        <v>70</v>
      </c>
      <c r="M105" s="31" t="s">
        <v>71</v>
      </c>
    </row>
    <row r="106" spans="1:10" ht="10.5" customHeight="1">
      <c r="A106" s="27" t="s">
        <v>66</v>
      </c>
      <c r="B106" s="28" t="str">
        <f t="shared" si="1"/>
        <v>P.O. Box 217</v>
      </c>
      <c r="E106" s="32" t="str">
        <f>+E4</f>
        <v>TN0022870</v>
      </c>
      <c r="F106" s="33"/>
      <c r="H106" s="34" t="s">
        <v>67</v>
      </c>
      <c r="I106" s="24" t="s">
        <v>424</v>
      </c>
      <c r="J106" s="24"/>
    </row>
    <row r="107" spans="1:12" ht="10.5" customHeight="1">
      <c r="A107" s="24"/>
      <c r="B107" s="28" t="str">
        <f t="shared" si="1"/>
        <v>Maynardville,  TN  37807</v>
      </c>
      <c r="E107" s="36" t="s">
        <v>72</v>
      </c>
      <c r="F107" s="37"/>
      <c r="H107" s="38" t="s">
        <v>73</v>
      </c>
      <c r="I107" s="35" t="s">
        <v>68</v>
      </c>
      <c r="L107" s="35"/>
    </row>
    <row r="108" spans="1:9" ht="10.5" customHeight="1">
      <c r="A108" s="24"/>
      <c r="B108" s="28">
        <f t="shared" si="1"/>
        <v>0</v>
      </c>
      <c r="I108" s="24" t="s">
        <v>74</v>
      </c>
    </row>
    <row r="109" spans="1:9" ht="10.5" customHeight="1">
      <c r="A109" s="26" t="s">
        <v>75</v>
      </c>
      <c r="B109" s="28" t="str">
        <f t="shared" si="1"/>
        <v>Maynardville STP</v>
      </c>
      <c r="E109" s="39"/>
      <c r="F109" s="40" t="s">
        <v>76</v>
      </c>
      <c r="G109" s="4"/>
      <c r="H109" s="41"/>
      <c r="I109" s="24" t="s">
        <v>424</v>
      </c>
    </row>
    <row r="110" spans="1:9" ht="10.5" customHeight="1">
      <c r="A110" s="27" t="s">
        <v>77</v>
      </c>
      <c r="B110" s="28" t="str">
        <f t="shared" si="1"/>
        <v>Maynardville,  TN  37807</v>
      </c>
      <c r="E110" s="42" t="s">
        <v>78</v>
      </c>
      <c r="F110" s="43" t="s">
        <v>79</v>
      </c>
      <c r="G110" s="42" t="s">
        <v>80</v>
      </c>
      <c r="H110" s="44" t="s">
        <v>81</v>
      </c>
      <c r="I110" s="24"/>
    </row>
    <row r="111" spans="4:11" ht="10.5" customHeight="1">
      <c r="D111" s="46"/>
      <c r="E111" s="415">
        <f>+E9</f>
        <v>0</v>
      </c>
      <c r="F111" s="47">
        <f>+F9</f>
        <v>1</v>
      </c>
      <c r="G111" s="415">
        <f>+G9</f>
        <v>0</v>
      </c>
      <c r="H111" s="212">
        <f>+H9</f>
        <v>0</v>
      </c>
      <c r="I111" s="24" t="s">
        <v>82</v>
      </c>
      <c r="J111" s="45"/>
      <c r="K111" t="s">
        <v>83</v>
      </c>
    </row>
    <row r="112" spans="1:10" ht="10.5" customHeight="1">
      <c r="A112" t="str">
        <f>+A94</f>
        <v>Michael Payne - Utility Director</v>
      </c>
      <c r="D112" s="48"/>
      <c r="E112" s="49" t="s">
        <v>84</v>
      </c>
      <c r="F112" s="50" t="s">
        <v>188</v>
      </c>
      <c r="G112" s="49" t="s">
        <v>85</v>
      </c>
      <c r="H112" s="49" t="s">
        <v>86</v>
      </c>
      <c r="I112" s="51" t="s">
        <v>87</v>
      </c>
      <c r="J112" s="52"/>
    </row>
    <row r="113" spans="1:13" ht="10.5" customHeight="1">
      <c r="A113" s="53"/>
      <c r="B113" s="54"/>
      <c r="C113" s="55"/>
      <c r="D113" s="56" t="s">
        <v>189</v>
      </c>
      <c r="E113" s="54"/>
      <c r="F113" s="57"/>
      <c r="G113" s="58" t="s">
        <v>190</v>
      </c>
      <c r="H113" s="59" t="s">
        <v>88</v>
      </c>
      <c r="I113" s="4"/>
      <c r="J113" s="57"/>
      <c r="K113" s="60" t="s">
        <v>89</v>
      </c>
      <c r="L113" s="60" t="s">
        <v>90</v>
      </c>
      <c r="M113" s="60" t="s">
        <v>91</v>
      </c>
    </row>
    <row r="114" spans="1:13" ht="10.5" customHeight="1">
      <c r="A114" s="61" t="s">
        <v>92</v>
      </c>
      <c r="C114" s="62"/>
      <c r="D114" s="63" t="s">
        <v>191</v>
      </c>
      <c r="E114" s="52" t="s">
        <v>192</v>
      </c>
      <c r="F114" s="3"/>
      <c r="G114" s="52" t="s">
        <v>193</v>
      </c>
      <c r="H114" s="52" t="s">
        <v>191</v>
      </c>
      <c r="I114" s="52" t="s">
        <v>192</v>
      </c>
      <c r="J114" s="64"/>
      <c r="K114" s="65" t="s">
        <v>93</v>
      </c>
      <c r="L114" s="65" t="s">
        <v>94</v>
      </c>
      <c r="M114" s="65" t="s">
        <v>95</v>
      </c>
    </row>
    <row r="115" spans="1:13" ht="10.5" customHeight="1">
      <c r="A115" s="66"/>
      <c r="B115" s="67" t="s">
        <v>96</v>
      </c>
      <c r="C115" s="68"/>
      <c r="D115" s="69" t="s">
        <v>97</v>
      </c>
      <c r="E115" s="70" t="s">
        <v>98</v>
      </c>
      <c r="F115" s="70" t="s">
        <v>99</v>
      </c>
      <c r="G115" s="70" t="s">
        <v>100</v>
      </c>
      <c r="H115" s="70" t="s">
        <v>97</v>
      </c>
      <c r="I115" s="70" t="s">
        <v>98</v>
      </c>
      <c r="J115" s="70" t="s">
        <v>99</v>
      </c>
      <c r="K115" s="71" t="s">
        <v>194</v>
      </c>
      <c r="L115" s="71" t="s">
        <v>195</v>
      </c>
      <c r="M115" s="71" t="s">
        <v>196</v>
      </c>
    </row>
    <row r="116" spans="1:13" ht="10.5" customHeight="1">
      <c r="A116" s="72" t="s">
        <v>163</v>
      </c>
      <c r="B116" s="73"/>
      <c r="C116" s="74" t="s">
        <v>91</v>
      </c>
      <c r="D116" s="620">
        <f>+State1!AI40</f>
        <v>8.702050428571429</v>
      </c>
      <c r="E116" s="622">
        <f>+State1!AV33</f>
        <v>0</v>
      </c>
      <c r="F116" s="76"/>
      <c r="G116" s="590">
        <f>+State1!I40</f>
        <v>4.85</v>
      </c>
      <c r="H116" s="592">
        <f>+State1!AT33</f>
        <v>0</v>
      </c>
      <c r="I116" s="590">
        <f>+State1!I41</f>
        <v>6.6</v>
      </c>
      <c r="J116" s="385" t="s">
        <v>103</v>
      </c>
      <c r="K116" s="401">
        <f>+DMRVIO!B5+DMRVIO!B7+DMRVIO!B9+DMRVIO!B11+DMRVIO!B13</f>
        <v>0</v>
      </c>
      <c r="L116" s="78" t="s">
        <v>425</v>
      </c>
      <c r="M116" s="79" t="s">
        <v>121</v>
      </c>
    </row>
    <row r="117" spans="1:13" ht="10.5" customHeight="1">
      <c r="A117" s="80" t="s">
        <v>164</v>
      </c>
      <c r="B117" s="81"/>
      <c r="C117" s="74" t="s">
        <v>108</v>
      </c>
      <c r="D117" s="621"/>
      <c r="E117" s="623"/>
      <c r="F117" s="99" t="s">
        <v>126</v>
      </c>
      <c r="G117" s="591"/>
      <c r="H117" s="593"/>
      <c r="I117" s="591"/>
      <c r="J117" s="78"/>
      <c r="K117" s="83"/>
      <c r="L117" s="83" t="s">
        <v>426</v>
      </c>
      <c r="M117" s="84"/>
    </row>
    <row r="118" spans="1:13" ht="10.5" customHeight="1">
      <c r="A118" s="128">
        <v>80082</v>
      </c>
      <c r="B118" s="73" t="s">
        <v>158</v>
      </c>
      <c r="C118" s="85" t="s">
        <v>111</v>
      </c>
      <c r="D118" s="143">
        <v>125</v>
      </c>
      <c r="E118" s="100">
        <v>175</v>
      </c>
      <c r="F118" s="76" t="s">
        <v>127</v>
      </c>
      <c r="G118" s="86">
        <v>25</v>
      </c>
      <c r="H118" s="86">
        <v>35</v>
      </c>
      <c r="I118" s="86">
        <v>40</v>
      </c>
      <c r="J118" s="78"/>
      <c r="K118" s="87"/>
      <c r="L118" s="87" t="s">
        <v>425</v>
      </c>
      <c r="M118" s="88" t="s">
        <v>121</v>
      </c>
    </row>
    <row r="119" spans="1:13" ht="10.5" customHeight="1">
      <c r="A119" s="89" t="s">
        <v>458</v>
      </c>
      <c r="B119" s="90"/>
      <c r="C119" s="91" t="s">
        <v>113</v>
      </c>
      <c r="D119" s="144" t="s">
        <v>125</v>
      </c>
      <c r="E119" s="92" t="s">
        <v>128</v>
      </c>
      <c r="F119" s="93"/>
      <c r="G119" s="94" t="s">
        <v>129</v>
      </c>
      <c r="H119" s="94" t="s">
        <v>128</v>
      </c>
      <c r="I119" s="94" t="s">
        <v>119</v>
      </c>
      <c r="J119" s="95" t="s">
        <v>30</v>
      </c>
      <c r="K119" s="96"/>
      <c r="L119" s="96" t="s">
        <v>426</v>
      </c>
      <c r="M119" s="97"/>
    </row>
    <row r="120" spans="1:13" ht="10.5" customHeight="1">
      <c r="A120" s="72" t="s">
        <v>165</v>
      </c>
      <c r="B120" s="73"/>
      <c r="C120" s="74" t="s">
        <v>91</v>
      </c>
      <c r="D120" s="76" t="s">
        <v>102</v>
      </c>
      <c r="E120" s="588">
        <v>0</v>
      </c>
      <c r="F120" s="76" t="s">
        <v>102</v>
      </c>
      <c r="G120" s="75" t="s">
        <v>102</v>
      </c>
      <c r="H120" s="75" t="s">
        <v>102</v>
      </c>
      <c r="I120" s="75" t="s">
        <v>102</v>
      </c>
      <c r="J120" s="77" t="s">
        <v>102</v>
      </c>
      <c r="K120" s="78">
        <v>0</v>
      </c>
      <c r="L120" s="79" t="s">
        <v>410</v>
      </c>
      <c r="M120" s="79" t="s">
        <v>166</v>
      </c>
    </row>
    <row r="121" spans="1:13" ht="10.5" customHeight="1">
      <c r="A121" s="80" t="s">
        <v>167</v>
      </c>
      <c r="B121" s="81" t="s">
        <v>168</v>
      </c>
      <c r="C121" s="74" t="s">
        <v>108</v>
      </c>
      <c r="D121" s="82"/>
      <c r="E121" s="589"/>
      <c r="F121" s="82"/>
      <c r="G121" s="82"/>
      <c r="H121" s="82"/>
      <c r="I121" s="82"/>
      <c r="J121" s="78"/>
      <c r="K121" s="83"/>
      <c r="L121" s="84" t="s">
        <v>411</v>
      </c>
      <c r="M121" s="84"/>
    </row>
    <row r="122" spans="1:13" ht="10.5" customHeight="1">
      <c r="A122" s="72" t="s">
        <v>170</v>
      </c>
      <c r="B122" s="73"/>
      <c r="C122" s="85" t="s">
        <v>111</v>
      </c>
      <c r="D122" s="86" t="s">
        <v>102</v>
      </c>
      <c r="E122" s="86" t="s">
        <v>124</v>
      </c>
      <c r="F122" s="76" t="s">
        <v>102</v>
      </c>
      <c r="G122" s="86" t="s">
        <v>102</v>
      </c>
      <c r="H122" s="86" t="s">
        <v>102</v>
      </c>
      <c r="I122" s="86" t="s">
        <v>102</v>
      </c>
      <c r="J122" s="78"/>
      <c r="K122" s="87"/>
      <c r="L122" s="88" t="s">
        <v>412</v>
      </c>
      <c r="M122" s="88" t="s">
        <v>166</v>
      </c>
    </row>
    <row r="123" spans="1:13" ht="10.5" customHeight="1">
      <c r="A123" s="89"/>
      <c r="B123" s="90"/>
      <c r="C123" s="91" t="s">
        <v>113</v>
      </c>
      <c r="D123" s="92"/>
      <c r="E123" s="92" t="s">
        <v>172</v>
      </c>
      <c r="F123" s="93"/>
      <c r="G123" s="94"/>
      <c r="H123" s="94"/>
      <c r="I123" s="94"/>
      <c r="J123" s="95"/>
      <c r="K123" s="96"/>
      <c r="L123" s="96" t="s">
        <v>411</v>
      </c>
      <c r="M123" s="97"/>
    </row>
    <row r="124" spans="1:13" ht="10.5" customHeight="1">
      <c r="A124" s="72" t="s">
        <v>174</v>
      </c>
      <c r="B124" s="73"/>
      <c r="C124" s="74" t="s">
        <v>91</v>
      </c>
      <c r="D124" s="76" t="s">
        <v>102</v>
      </c>
      <c r="E124" s="76" t="s">
        <v>102</v>
      </c>
      <c r="F124" s="76" t="s">
        <v>102</v>
      </c>
      <c r="G124" s="597">
        <f>+State1!AO42</f>
        <v>0.9617647058823531</v>
      </c>
      <c r="H124" s="597">
        <f>+State1!AO40</f>
        <v>0.9805972058905502</v>
      </c>
      <c r="I124" s="76" t="s">
        <v>102</v>
      </c>
      <c r="J124" s="77" t="s">
        <v>175</v>
      </c>
      <c r="K124" s="401">
        <f>+DMRVIO!C16+DMRVIO!C18</f>
        <v>0</v>
      </c>
      <c r="L124" s="78" t="s">
        <v>425</v>
      </c>
      <c r="M124" s="79" t="s">
        <v>176</v>
      </c>
    </row>
    <row r="125" spans="1:13" ht="10.5" customHeight="1">
      <c r="A125" s="80" t="s">
        <v>177</v>
      </c>
      <c r="B125" s="81"/>
      <c r="C125" s="74" t="s">
        <v>108</v>
      </c>
      <c r="D125" s="82"/>
      <c r="E125" s="82"/>
      <c r="F125" s="82"/>
      <c r="G125" s="598"/>
      <c r="H125" s="598"/>
      <c r="I125" s="82"/>
      <c r="J125" s="78" t="s">
        <v>178</v>
      </c>
      <c r="K125" s="83"/>
      <c r="L125" s="83" t="s">
        <v>426</v>
      </c>
      <c r="M125" s="84"/>
    </row>
    <row r="126" spans="1:13" ht="10.5" customHeight="1">
      <c r="A126" s="80" t="s">
        <v>179</v>
      </c>
      <c r="B126" s="73" t="s">
        <v>180</v>
      </c>
      <c r="C126" s="85" t="s">
        <v>111</v>
      </c>
      <c r="D126" s="86" t="s">
        <v>102</v>
      </c>
      <c r="E126" s="86" t="s">
        <v>102</v>
      </c>
      <c r="F126" s="76" t="s">
        <v>102</v>
      </c>
      <c r="G126" s="130">
        <v>0.4</v>
      </c>
      <c r="H126" s="130">
        <v>0.85</v>
      </c>
      <c r="I126" s="86" t="s">
        <v>102</v>
      </c>
      <c r="J126" s="78"/>
      <c r="K126" s="87"/>
      <c r="L126" s="87" t="s">
        <v>425</v>
      </c>
      <c r="M126" s="88" t="s">
        <v>176</v>
      </c>
    </row>
    <row r="127" spans="1:13" ht="10.5" customHeight="1">
      <c r="A127" s="89" t="s">
        <v>177</v>
      </c>
      <c r="B127" s="90"/>
      <c r="C127" s="91" t="s">
        <v>113</v>
      </c>
      <c r="D127" s="92"/>
      <c r="E127" s="92"/>
      <c r="F127" s="93"/>
      <c r="G127" s="94" t="s">
        <v>181</v>
      </c>
      <c r="H127" s="94" t="s">
        <v>183</v>
      </c>
      <c r="I127" s="94"/>
      <c r="J127" s="95"/>
      <c r="K127" s="96"/>
      <c r="L127" s="96" t="s">
        <v>426</v>
      </c>
      <c r="M127" s="97"/>
    </row>
    <row r="128" spans="1:13" ht="10.5" customHeight="1">
      <c r="A128" s="72" t="s">
        <v>182</v>
      </c>
      <c r="B128" s="73"/>
      <c r="C128" s="74" t="s">
        <v>91</v>
      </c>
      <c r="D128" s="98"/>
      <c r="E128" s="98"/>
      <c r="F128" s="76"/>
      <c r="G128" s="597">
        <f>+State1!AN42</f>
        <v>0.956</v>
      </c>
      <c r="H128" s="597">
        <f>+State1!AN40</f>
        <v>0.9811631636831807</v>
      </c>
      <c r="I128" s="76" t="s">
        <v>102</v>
      </c>
      <c r="J128" s="77" t="s">
        <v>175</v>
      </c>
      <c r="K128" s="401">
        <f>+DMRVIO!B16+DMRVIO!B18</f>
        <v>0</v>
      </c>
      <c r="L128" s="78" t="s">
        <v>425</v>
      </c>
      <c r="M128" s="79" t="s">
        <v>176</v>
      </c>
    </row>
    <row r="129" spans="1:13" ht="10.5" customHeight="1">
      <c r="A129" s="80" t="s">
        <v>61</v>
      </c>
      <c r="B129" s="81"/>
      <c r="C129" s="74" t="s">
        <v>108</v>
      </c>
      <c r="D129" s="82"/>
      <c r="E129" s="82"/>
      <c r="F129" s="99"/>
      <c r="G129" s="598"/>
      <c r="H129" s="598"/>
      <c r="I129" s="82"/>
      <c r="J129" s="78" t="s">
        <v>178</v>
      </c>
      <c r="K129" s="83"/>
      <c r="L129" s="83" t="s">
        <v>426</v>
      </c>
      <c r="M129" s="84"/>
    </row>
    <row r="130" spans="1:13" ht="10.5" customHeight="1">
      <c r="A130" s="128">
        <v>81363</v>
      </c>
      <c r="B130" s="73" t="s">
        <v>180</v>
      </c>
      <c r="C130" s="85" t="s">
        <v>111</v>
      </c>
      <c r="D130" s="100"/>
      <c r="E130" s="100"/>
      <c r="F130" s="76"/>
      <c r="G130" s="130">
        <v>0.4</v>
      </c>
      <c r="H130" s="130">
        <v>0.85</v>
      </c>
      <c r="I130" s="86" t="s">
        <v>102</v>
      </c>
      <c r="J130" s="78"/>
      <c r="K130" s="87"/>
      <c r="L130" s="87" t="s">
        <v>425</v>
      </c>
      <c r="M130" s="88" t="s">
        <v>176</v>
      </c>
    </row>
    <row r="131" spans="1:13" ht="10.5" customHeight="1">
      <c r="A131" s="89" t="s">
        <v>177</v>
      </c>
      <c r="B131" s="90"/>
      <c r="C131" s="91" t="s">
        <v>113</v>
      </c>
      <c r="D131" s="92"/>
      <c r="E131" s="92"/>
      <c r="F131" s="93"/>
      <c r="G131" s="94" t="s">
        <v>181</v>
      </c>
      <c r="H131" s="94" t="s">
        <v>183</v>
      </c>
      <c r="I131" s="94"/>
      <c r="J131" s="95"/>
      <c r="K131" s="96"/>
      <c r="L131" s="96" t="s">
        <v>426</v>
      </c>
      <c r="M131" s="97"/>
    </row>
    <row r="132" spans="1:13" ht="10.5" customHeight="1">
      <c r="A132" s="2"/>
      <c r="B132" s="73"/>
      <c r="C132" s="74" t="s">
        <v>91</v>
      </c>
      <c r="D132" s="76"/>
      <c r="E132" s="76"/>
      <c r="F132" s="76"/>
      <c r="G132" s="76"/>
      <c r="H132" s="76"/>
      <c r="I132" s="76"/>
      <c r="J132" s="77"/>
      <c r="K132" s="78"/>
      <c r="L132" s="78"/>
      <c r="M132" s="79"/>
    </row>
    <row r="133" spans="1:13" ht="10.5" customHeight="1">
      <c r="A133" s="131"/>
      <c r="B133" s="132"/>
      <c r="C133" s="74" t="s">
        <v>108</v>
      </c>
      <c r="D133" s="82"/>
      <c r="E133" s="82"/>
      <c r="F133" s="82"/>
      <c r="G133" s="82"/>
      <c r="H133" s="82"/>
      <c r="I133" s="82"/>
      <c r="J133" s="78"/>
      <c r="K133" s="83"/>
      <c r="L133" s="83"/>
      <c r="M133" s="84"/>
    </row>
    <row r="134" spans="1:13" ht="10.5" customHeight="1">
      <c r="A134" s="2"/>
      <c r="B134" s="73"/>
      <c r="C134" s="85" t="s">
        <v>111</v>
      </c>
      <c r="D134" s="86"/>
      <c r="E134" s="86"/>
      <c r="F134" s="76"/>
      <c r="G134" s="86"/>
      <c r="H134" s="86"/>
      <c r="I134" s="101"/>
      <c r="J134" s="78"/>
      <c r="K134" s="87"/>
      <c r="L134" s="87"/>
      <c r="M134" s="88"/>
    </row>
    <row r="135" spans="1:13" ht="10.5" customHeight="1">
      <c r="A135" s="113"/>
      <c r="B135" s="90"/>
      <c r="C135" s="91" t="s">
        <v>113</v>
      </c>
      <c r="D135" s="92"/>
      <c r="E135" s="92"/>
      <c r="F135" s="93"/>
      <c r="G135" s="94"/>
      <c r="H135" s="94"/>
      <c r="I135" s="94"/>
      <c r="J135" s="95"/>
      <c r="K135" s="96"/>
      <c r="L135" s="96"/>
      <c r="M135" s="97"/>
    </row>
    <row r="136" spans="1:13" ht="10.5" customHeight="1">
      <c r="A136" s="2"/>
      <c r="B136" s="73"/>
      <c r="C136" s="74" t="s">
        <v>91</v>
      </c>
      <c r="D136" s="76"/>
      <c r="E136" s="76"/>
      <c r="F136" s="76"/>
      <c r="G136" s="76"/>
      <c r="H136" s="76"/>
      <c r="I136" s="76"/>
      <c r="J136" s="77"/>
      <c r="K136" s="78"/>
      <c r="L136" s="78"/>
      <c r="M136" s="79"/>
    </row>
    <row r="137" spans="1:13" ht="10.5" customHeight="1">
      <c r="A137" s="131"/>
      <c r="B137" s="132"/>
      <c r="C137" s="74" t="s">
        <v>108</v>
      </c>
      <c r="D137" s="82"/>
      <c r="E137" s="82"/>
      <c r="F137" s="99"/>
      <c r="G137" s="82"/>
      <c r="H137" s="82"/>
      <c r="I137" s="82"/>
      <c r="J137" s="78"/>
      <c r="K137" s="83"/>
      <c r="L137" s="83"/>
      <c r="M137" s="84"/>
    </row>
    <row r="138" spans="1:13" ht="10.5" customHeight="1">
      <c r="A138" s="131"/>
      <c r="B138" s="133"/>
      <c r="C138" s="85" t="s">
        <v>111</v>
      </c>
      <c r="D138" s="86"/>
      <c r="E138" s="86"/>
      <c r="F138" s="76"/>
      <c r="G138" s="86"/>
      <c r="H138" s="86"/>
      <c r="I138" s="86"/>
      <c r="J138" s="78"/>
      <c r="K138" s="87"/>
      <c r="L138" s="87"/>
      <c r="M138" s="88"/>
    </row>
    <row r="139" spans="1:13" ht="10.5" customHeight="1">
      <c r="A139" s="113"/>
      <c r="B139" s="90"/>
      <c r="C139" s="91" t="s">
        <v>113</v>
      </c>
      <c r="D139" s="92"/>
      <c r="E139" s="92"/>
      <c r="F139" s="93"/>
      <c r="G139" s="94"/>
      <c r="H139" s="94"/>
      <c r="I139" s="94"/>
      <c r="J139" s="95"/>
      <c r="K139" s="96"/>
      <c r="L139" s="96"/>
      <c r="M139" s="97"/>
    </row>
    <row r="140" spans="1:13" ht="10.5" customHeight="1">
      <c r="A140" s="2"/>
      <c r="B140" s="73"/>
      <c r="C140" s="74" t="s">
        <v>91</v>
      </c>
      <c r="D140" s="76"/>
      <c r="E140" s="76"/>
      <c r="F140" s="76"/>
      <c r="G140" s="76"/>
      <c r="H140" s="76"/>
      <c r="I140" s="98"/>
      <c r="J140" s="77"/>
      <c r="K140" s="78"/>
      <c r="L140" s="78"/>
      <c r="M140" s="79"/>
    </row>
    <row r="141" spans="1:13" ht="10.5" customHeight="1">
      <c r="A141" s="131"/>
      <c r="B141" s="132"/>
      <c r="C141" s="74" t="s">
        <v>108</v>
      </c>
      <c r="D141" s="82"/>
      <c r="E141" s="82"/>
      <c r="F141" s="82"/>
      <c r="G141" s="82"/>
      <c r="H141" s="82"/>
      <c r="I141" s="82"/>
      <c r="J141" s="78"/>
      <c r="K141" s="83"/>
      <c r="L141" s="83"/>
      <c r="M141" s="84"/>
    </row>
    <row r="142" spans="1:13" ht="10.5" customHeight="1">
      <c r="A142" s="131"/>
      <c r="B142" s="132"/>
      <c r="C142" s="85" t="s">
        <v>111</v>
      </c>
      <c r="D142" s="86"/>
      <c r="E142" s="86"/>
      <c r="F142" s="76"/>
      <c r="G142" s="86"/>
      <c r="H142" s="100"/>
      <c r="I142" s="100"/>
      <c r="J142" s="78"/>
      <c r="K142" s="87"/>
      <c r="L142" s="87"/>
      <c r="M142" s="88"/>
    </row>
    <row r="143" spans="1:13" ht="10.5" customHeight="1">
      <c r="A143" s="113"/>
      <c r="B143" s="102"/>
      <c r="C143" s="91" t="s">
        <v>113</v>
      </c>
      <c r="D143" s="92"/>
      <c r="E143" s="92"/>
      <c r="F143" s="93"/>
      <c r="G143" s="94"/>
      <c r="H143" s="94"/>
      <c r="I143" s="94"/>
      <c r="J143" s="95"/>
      <c r="K143" s="96"/>
      <c r="L143" s="96"/>
      <c r="M143" s="97"/>
    </row>
    <row r="144" spans="1:13" ht="10.5" customHeight="1">
      <c r="A144" s="103" t="s">
        <v>495</v>
      </c>
      <c r="C144" s="3"/>
      <c r="D144" s="423" t="s">
        <v>138</v>
      </c>
      <c r="F144" s="3"/>
      <c r="G144" s="599"/>
      <c r="H144" s="600"/>
      <c r="I144" s="104" t="s">
        <v>139</v>
      </c>
      <c r="J144" s="105"/>
      <c r="K144" s="106"/>
      <c r="L144" s="107" t="s">
        <v>140</v>
      </c>
      <c r="M144" s="108"/>
    </row>
    <row r="145" spans="1:13" ht="10.5" customHeight="1">
      <c r="A145" s="605" t="str">
        <f>+A43</f>
        <v>Michael Payne - Utility Director</v>
      </c>
      <c r="B145" s="606"/>
      <c r="C145" s="607"/>
      <c r="D145" s="423" t="s">
        <v>141</v>
      </c>
      <c r="F145" s="3"/>
      <c r="G145" s="601"/>
      <c r="H145" s="602"/>
      <c r="I145" s="109" t="s">
        <v>142</v>
      </c>
      <c r="J145" s="35"/>
      <c r="K145" s="1"/>
      <c r="L145" s="109"/>
      <c r="M145" s="3"/>
    </row>
    <row r="146" spans="1:13" ht="10.5" customHeight="1">
      <c r="A146" s="608"/>
      <c r="B146" s="609"/>
      <c r="C146" s="610"/>
      <c r="D146" s="423" t="s">
        <v>143</v>
      </c>
      <c r="F146" s="3"/>
      <c r="G146" s="601"/>
      <c r="H146" s="602"/>
      <c r="I146" s="2" t="s">
        <v>142</v>
      </c>
      <c r="K146" s="1"/>
      <c r="L146" s="2"/>
      <c r="M146" s="3"/>
    </row>
    <row r="147" spans="1:13" ht="10.5" customHeight="1">
      <c r="A147" s="608"/>
      <c r="B147" s="609"/>
      <c r="C147" s="610"/>
      <c r="D147" s="423" t="s">
        <v>144</v>
      </c>
      <c r="F147" s="3"/>
      <c r="G147" s="603"/>
      <c r="H147" s="604"/>
      <c r="I147" s="2" t="s">
        <v>142</v>
      </c>
      <c r="K147" s="1"/>
      <c r="L147" s="2"/>
      <c r="M147" s="3"/>
    </row>
    <row r="148" spans="1:13" ht="10.5" customHeight="1">
      <c r="A148" s="608"/>
      <c r="B148" s="609"/>
      <c r="C148" s="610"/>
      <c r="D148" s="423" t="s">
        <v>496</v>
      </c>
      <c r="F148" s="3"/>
      <c r="G148" s="110" t="s">
        <v>145</v>
      </c>
      <c r="H148" s="4"/>
      <c r="I148" s="425">
        <f>+I46</f>
        <v>865</v>
      </c>
      <c r="J148" s="109" t="str">
        <f>+J46</f>
        <v>992-3821</v>
      </c>
      <c r="K148" s="35"/>
      <c r="L148" s="111">
        <f>+L97</f>
        <v>0</v>
      </c>
      <c r="M148" s="112">
        <f>+M97</f>
        <v>0</v>
      </c>
    </row>
    <row r="149" spans="1:13" ht="10.5" customHeight="1">
      <c r="A149" s="113"/>
      <c r="B149" s="114" t="s">
        <v>146</v>
      </c>
      <c r="C149" s="108"/>
      <c r="D149" s="424" t="s">
        <v>147</v>
      </c>
      <c r="E149" s="115"/>
      <c r="F149" s="108"/>
      <c r="G149" s="116" t="s">
        <v>148</v>
      </c>
      <c r="H149" s="115"/>
      <c r="I149" s="117" t="s">
        <v>149</v>
      </c>
      <c r="J149" s="118" t="s">
        <v>150</v>
      </c>
      <c r="K149" s="119"/>
      <c r="L149" s="120" t="s">
        <v>151</v>
      </c>
      <c r="M149" s="121" t="s">
        <v>46</v>
      </c>
    </row>
    <row r="150" ht="10.5" customHeight="1">
      <c r="A150" s="27" t="str">
        <f>+A99</f>
        <v>BYPASSING IS ANY DIVERSION OF THE WASTEWATER TREATMENT FACILITY AND FOR OVERFLOWS OF THE COLLECTION</v>
      </c>
    </row>
    <row r="151" ht="10.5" customHeight="1">
      <c r="A151" s="27" t="str">
        <f>+A100</f>
        <v>SYSTEM:  T = WET WEATHER OCCURANCES AND U = ALL OTHER OCCURANCES</v>
      </c>
    </row>
    <row r="152" spans="1:13" ht="10.5" customHeight="1" thickBot="1">
      <c r="A152" s="628"/>
      <c r="B152" s="628"/>
      <c r="C152" s="628"/>
      <c r="D152" s="628"/>
      <c r="E152" s="628"/>
      <c r="F152" s="628"/>
      <c r="G152" s="628"/>
      <c r="H152" s="628"/>
      <c r="I152" s="628"/>
      <c r="J152" s="628"/>
      <c r="K152" s="628"/>
      <c r="L152" s="628"/>
      <c r="M152" s="628"/>
    </row>
    <row r="153" spans="1:13" ht="10.5" customHeight="1" thickTop="1">
      <c r="A153" s="124" t="s">
        <v>197</v>
      </c>
      <c r="B153" s="125"/>
      <c r="C153" s="125"/>
      <c r="D153" s="125"/>
      <c r="E153" s="125"/>
      <c r="F153" s="124" t="s">
        <v>152</v>
      </c>
      <c r="G153" s="125"/>
      <c r="H153" s="125"/>
      <c r="I153" s="125"/>
      <c r="J153" s="125"/>
      <c r="K153" s="126" t="s">
        <v>153</v>
      </c>
      <c r="L153" s="127">
        <v>3</v>
      </c>
      <c r="M153" s="127" t="s">
        <v>401</v>
      </c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</sheetData>
  <sheetProtection selectLockedCells="1" selectUnlockedCells="1"/>
  <mergeCells count="51">
    <mergeCell ref="A152:M152"/>
    <mergeCell ref="G14:G15"/>
    <mergeCell ref="G18:G19"/>
    <mergeCell ref="I18:I19"/>
    <mergeCell ref="I22:I23"/>
    <mergeCell ref="I26:I27"/>
    <mergeCell ref="H26:H27"/>
    <mergeCell ref="I30:I31"/>
    <mergeCell ref="H34:H35"/>
    <mergeCell ref="A50:M50"/>
    <mergeCell ref="I38:I39"/>
    <mergeCell ref="I34:I35"/>
    <mergeCell ref="A101:M101"/>
    <mergeCell ref="H22:H23"/>
    <mergeCell ref="G26:G27"/>
    <mergeCell ref="D69:D70"/>
    <mergeCell ref="E69:E70"/>
    <mergeCell ref="D26:D27"/>
    <mergeCell ref="D34:D35"/>
    <mergeCell ref="E34:E35"/>
    <mergeCell ref="H38:H39"/>
    <mergeCell ref="G34:G35"/>
    <mergeCell ref="E26:E27"/>
    <mergeCell ref="D73:D74"/>
    <mergeCell ref="E73:E74"/>
    <mergeCell ref="H65:H66"/>
    <mergeCell ref="I116:I117"/>
    <mergeCell ref="I77:I78"/>
    <mergeCell ref="E81:E82"/>
    <mergeCell ref="H89:H90"/>
    <mergeCell ref="E85:E86"/>
    <mergeCell ref="D116:D117"/>
    <mergeCell ref="E116:E117"/>
    <mergeCell ref="I89:I90"/>
    <mergeCell ref="G128:G129"/>
    <mergeCell ref="H128:H129"/>
    <mergeCell ref="A145:C148"/>
    <mergeCell ref="G144:H147"/>
    <mergeCell ref="A42:C42"/>
    <mergeCell ref="A43:C46"/>
    <mergeCell ref="G93:H96"/>
    <mergeCell ref="D89:D90"/>
    <mergeCell ref="E89:E90"/>
    <mergeCell ref="A94:C97"/>
    <mergeCell ref="E120:E121"/>
    <mergeCell ref="G116:G117"/>
    <mergeCell ref="H116:H117"/>
    <mergeCell ref="D42:F42"/>
    <mergeCell ref="G124:G125"/>
    <mergeCell ref="H124:H125"/>
    <mergeCell ref="G42:H45"/>
  </mergeCells>
  <printOptions/>
  <pageMargins left="0" right="0" top="0" bottom="0" header="0" footer="0"/>
  <pageSetup horizontalDpi="600" verticalDpi="600" orientation="landscape" scale="90" r:id="rId1"/>
  <rowBreaks count="3" manualBreakCount="3">
    <brk id="51" max="12" man="1"/>
    <brk id="102" max="12" man="1"/>
    <brk id="15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8.28125" style="0" customWidth="1"/>
    <col min="2" max="2" width="8.8515625" style="0" bestFit="1" customWidth="1"/>
    <col min="3" max="3" width="10.00390625" style="0" bestFit="1" customWidth="1"/>
    <col min="4" max="4" width="8.00390625" style="0" bestFit="1" customWidth="1"/>
    <col min="5" max="5" width="9.7109375" style="0" customWidth="1"/>
    <col min="6" max="6" width="7.140625" style="0" bestFit="1" customWidth="1"/>
    <col min="7" max="7" width="8.8515625" style="0" bestFit="1" customWidth="1"/>
    <col min="8" max="8" width="8.421875" style="0" bestFit="1" customWidth="1"/>
    <col min="9" max="9" width="7.140625" style="0" bestFit="1" customWidth="1"/>
    <col min="10" max="10" width="10.57421875" style="0" bestFit="1" customWidth="1"/>
  </cols>
  <sheetData>
    <row r="1" spans="1:10" ht="15.75">
      <c r="A1" s="638" t="s">
        <v>470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ht="15.75" customHeight="1">
      <c r="A2" s="641">
        <f>+DailyOps!A3</f>
        <v>45383</v>
      </c>
      <c r="B2" s="642"/>
      <c r="C2" s="642"/>
      <c r="D2" s="642"/>
      <c r="E2" s="642"/>
      <c r="F2" s="642"/>
      <c r="G2" s="642"/>
      <c r="H2" s="642"/>
      <c r="I2" s="642"/>
      <c r="J2" s="643"/>
    </row>
    <row r="3" spans="1:10" ht="15.75">
      <c r="A3" s="296"/>
      <c r="B3" s="173" t="s">
        <v>198</v>
      </c>
      <c r="C3" s="173" t="s">
        <v>459</v>
      </c>
      <c r="D3" s="173" t="s">
        <v>460</v>
      </c>
      <c r="E3" s="173" t="s">
        <v>391</v>
      </c>
      <c r="F3" s="173" t="s">
        <v>44</v>
      </c>
      <c r="G3" s="296" t="s">
        <v>461</v>
      </c>
      <c r="H3" s="296" t="s">
        <v>462</v>
      </c>
      <c r="I3" s="296" t="s">
        <v>463</v>
      </c>
      <c r="J3" s="296" t="s">
        <v>347</v>
      </c>
    </row>
    <row r="4" spans="1:10" ht="15.75">
      <c r="A4" s="393" t="s">
        <v>464</v>
      </c>
      <c r="B4" s="393">
        <v>40</v>
      </c>
      <c r="C4" s="393">
        <v>45</v>
      </c>
      <c r="D4" s="393">
        <v>1</v>
      </c>
      <c r="E4" s="393">
        <v>5</v>
      </c>
      <c r="F4" s="393" t="s">
        <v>307</v>
      </c>
      <c r="G4" s="393">
        <v>3.8</v>
      </c>
      <c r="H4" s="393"/>
      <c r="I4" s="393">
        <v>1000</v>
      </c>
      <c r="J4" s="393">
        <v>0.03</v>
      </c>
    </row>
    <row r="5" spans="1:10" ht="15.75">
      <c r="A5" s="393" t="s">
        <v>465</v>
      </c>
      <c r="B5" s="399">
        <f>COUNTIF(State1!I8:I38,"&gt;40")</f>
        <v>0</v>
      </c>
      <c r="C5" s="399">
        <f>COUNTIF(State1!M8:M38,"&gt;45")</f>
        <v>0</v>
      </c>
      <c r="D5" s="399">
        <f>COUNTIF(State1!Q8:Q38,"&gt;1.0")</f>
        <v>0</v>
      </c>
      <c r="E5" s="399">
        <f>COUNTIF(State1!S8:S38,"&lt;5.0")</f>
        <v>0</v>
      </c>
      <c r="F5" s="399">
        <f>COUNTIF(State1!U8:U38,"&lt;6")+COUNTIF(State1!U8:U38,"&gt;9.0")</f>
        <v>0</v>
      </c>
      <c r="G5" s="399">
        <f>COUNTIF(State1!W8:W38,"&gt;3.8")</f>
        <v>0</v>
      </c>
      <c r="H5" s="399"/>
      <c r="I5" s="399">
        <f>COUNTIF(State1!T8:T38,"&gt;1000")</f>
        <v>0</v>
      </c>
      <c r="J5" s="399">
        <f>COUNTIF(State1!AB8:AB38,"&gt;0.03")</f>
        <v>0</v>
      </c>
    </row>
    <row r="6" spans="1:10" ht="15.75">
      <c r="A6" s="393" t="s">
        <v>466</v>
      </c>
      <c r="B6" s="393">
        <v>25</v>
      </c>
      <c r="C6" s="393">
        <v>30</v>
      </c>
      <c r="D6" s="393"/>
      <c r="E6" s="393"/>
      <c r="F6" s="393"/>
      <c r="G6" s="393">
        <v>1.9</v>
      </c>
      <c r="H6" s="393">
        <v>126</v>
      </c>
      <c r="I6" s="393">
        <v>200</v>
      </c>
      <c r="J6" s="393"/>
    </row>
    <row r="7" spans="1:10" ht="15.75">
      <c r="A7" s="393" t="s">
        <v>465</v>
      </c>
      <c r="B7" s="400" t="str">
        <f>IF(State1!I40&gt;25,"1","0")</f>
        <v>0</v>
      </c>
      <c r="C7" s="400" t="str">
        <f>IF(State1!M40&gt;30,"1","0")</f>
        <v>0</v>
      </c>
      <c r="D7" s="400"/>
      <c r="E7" s="400"/>
      <c r="F7" s="400"/>
      <c r="G7" s="400" t="str">
        <f>IF(State1!W40&gt;1.9,"1","0")</f>
        <v>0</v>
      </c>
      <c r="H7" s="400" t="str">
        <f>IF(State1!Z40&gt;126,"1","0")</f>
        <v>0</v>
      </c>
      <c r="I7" s="400" t="str">
        <f>IF(State1!AA40&gt;200,"1","0")</f>
        <v>0</v>
      </c>
      <c r="J7" s="400"/>
    </row>
    <row r="8" spans="1:10" ht="15.75">
      <c r="A8" s="393" t="s">
        <v>467</v>
      </c>
      <c r="B8" s="393">
        <v>35</v>
      </c>
      <c r="C8" s="393">
        <v>40</v>
      </c>
      <c r="D8" s="393"/>
      <c r="E8" s="393"/>
      <c r="F8" s="393"/>
      <c r="G8" s="393">
        <v>2.85</v>
      </c>
      <c r="H8" s="393"/>
      <c r="I8" s="393"/>
      <c r="J8" s="393"/>
    </row>
    <row r="9" spans="1:10" ht="15.75">
      <c r="A9" s="393" t="s">
        <v>465</v>
      </c>
      <c r="B9" s="400" t="str">
        <f>IF(State1!I42&gt;35,"1","0")</f>
        <v>0</v>
      </c>
      <c r="C9" s="400" t="str">
        <f>IF(State1!M42&gt;40,"1","0")</f>
        <v>0</v>
      </c>
      <c r="D9" s="400"/>
      <c r="E9" s="400"/>
      <c r="F9" s="400"/>
      <c r="G9" s="400" t="str">
        <f>IF(State1!W42&gt;2.85,"1","0")</f>
        <v>0</v>
      </c>
      <c r="H9" s="400"/>
      <c r="I9" s="400"/>
      <c r="J9" s="400"/>
    </row>
    <row r="10" spans="1:10" ht="15.75">
      <c r="A10" s="393" t="s">
        <v>468</v>
      </c>
      <c r="B10" s="393">
        <v>125</v>
      </c>
      <c r="C10" s="393">
        <v>150</v>
      </c>
      <c r="D10" s="393"/>
      <c r="E10" s="393"/>
      <c r="F10" s="393"/>
      <c r="G10" s="393">
        <v>9.5</v>
      </c>
      <c r="H10" s="393"/>
      <c r="I10" s="393"/>
      <c r="J10" s="393"/>
    </row>
    <row r="11" spans="1:10" ht="15.75">
      <c r="A11" s="393" t="s">
        <v>465</v>
      </c>
      <c r="B11" s="399">
        <f>COUNTIF(State1!AI8:AI38,"&gt;125")</f>
        <v>0</v>
      </c>
      <c r="C11" s="399">
        <f>COUNTIF(State1!AK8:AK38,"&gt;150")</f>
        <v>0</v>
      </c>
      <c r="D11" s="400"/>
      <c r="E11" s="400"/>
      <c r="F11" s="400"/>
      <c r="G11" s="399">
        <f>COUNTIF(State1!AM8:AM38,"&gt;9.5")</f>
        <v>0</v>
      </c>
      <c r="H11" s="400"/>
      <c r="I11" s="400"/>
      <c r="J11" s="400"/>
    </row>
    <row r="12" spans="1:10" ht="15.75">
      <c r="A12" s="393" t="s">
        <v>469</v>
      </c>
      <c r="B12" s="393">
        <v>175</v>
      </c>
      <c r="C12" s="393">
        <v>200</v>
      </c>
      <c r="D12" s="393"/>
      <c r="E12" s="393"/>
      <c r="F12" s="393"/>
      <c r="G12" s="393">
        <v>14</v>
      </c>
      <c r="H12" s="393"/>
      <c r="I12" s="393"/>
      <c r="J12" s="393"/>
    </row>
    <row r="13" spans="1:10" ht="15.75">
      <c r="A13" s="393" t="s">
        <v>465</v>
      </c>
      <c r="B13" s="400" t="str">
        <f>IF(State1!I46&gt;175,"1","0")</f>
        <v>0</v>
      </c>
      <c r="C13" s="400" t="str">
        <f>IF(State1!M46&gt;200,"1","0")</f>
        <v>0</v>
      </c>
      <c r="D13" s="400"/>
      <c r="E13" s="400"/>
      <c r="F13" s="400"/>
      <c r="G13" s="400" t="str">
        <f>IF(State1!W46&gt;14,"1","0")</f>
        <v>0</v>
      </c>
      <c r="H13" s="400" t="str">
        <f>IF(State1!AA46&gt;126,"1","0")</f>
        <v>0</v>
      </c>
      <c r="I13" s="400" t="str">
        <f>IF(State1!AC46&gt;200,"1","0")</f>
        <v>0</v>
      </c>
      <c r="J13" s="400"/>
    </row>
    <row r="14" spans="1:10" ht="15.75">
      <c r="A14" s="638" t="s">
        <v>177</v>
      </c>
      <c r="B14" s="639"/>
      <c r="C14" s="640"/>
      <c r="D14" s="393"/>
      <c r="E14" s="393"/>
      <c r="F14" s="393"/>
      <c r="G14" s="393"/>
      <c r="H14" s="393"/>
      <c r="I14" s="393"/>
      <c r="J14" s="393"/>
    </row>
    <row r="15" spans="1:10" ht="15.75">
      <c r="A15" s="393" t="s">
        <v>202</v>
      </c>
      <c r="B15" s="394">
        <v>0.4</v>
      </c>
      <c r="C15" s="394">
        <v>0.4</v>
      </c>
      <c r="D15" s="393"/>
      <c r="E15" s="393"/>
      <c r="F15" s="393"/>
      <c r="G15" s="393"/>
      <c r="H15" s="393"/>
      <c r="I15" s="393"/>
      <c r="J15" s="393"/>
    </row>
    <row r="16" spans="1:10" ht="15.75">
      <c r="A16" s="393" t="s">
        <v>465</v>
      </c>
      <c r="B16" s="399">
        <f>COUNTIF(State1!AN8:AN38,"&lt;.4")</f>
        <v>0</v>
      </c>
      <c r="C16" s="399">
        <f>COUNTIF(State1!AO8:AO38,"&lt;.4")</f>
        <v>0</v>
      </c>
      <c r="D16" s="398"/>
      <c r="E16" s="398"/>
      <c r="F16" s="398"/>
      <c r="G16" s="398"/>
      <c r="H16" s="398"/>
      <c r="I16" s="398"/>
      <c r="J16" s="398"/>
    </row>
    <row r="17" spans="1:10" ht="15.75">
      <c r="A17" s="393" t="s">
        <v>200</v>
      </c>
      <c r="B17" s="397">
        <v>0.85</v>
      </c>
      <c r="C17" s="397">
        <v>0.85</v>
      </c>
      <c r="D17" s="398"/>
      <c r="E17" s="398"/>
      <c r="F17" s="398"/>
      <c r="G17" s="398"/>
      <c r="H17" s="398"/>
      <c r="I17" s="398"/>
      <c r="J17" s="398"/>
    </row>
    <row r="18" spans="1:10" ht="15.75">
      <c r="A18" s="393" t="s">
        <v>465</v>
      </c>
      <c r="B18" s="400" t="str">
        <f>IF(State1!AN40&lt;85%,"1","0")</f>
        <v>0</v>
      </c>
      <c r="C18" s="400" t="str">
        <f>IF(State1!AO40&lt;85%,"1","0")</f>
        <v>0</v>
      </c>
      <c r="D18" s="398"/>
      <c r="E18" s="398"/>
      <c r="F18" s="398"/>
      <c r="G18" s="398"/>
      <c r="H18" s="398"/>
      <c r="I18" s="398"/>
      <c r="J18" s="398"/>
    </row>
    <row r="20" spans="1:5" ht="15.75">
      <c r="A20" s="410" t="s">
        <v>482</v>
      </c>
      <c r="B20" s="404" t="s">
        <v>485</v>
      </c>
      <c r="C20" s="403"/>
      <c r="D20" s="644"/>
      <c r="E20" s="644"/>
    </row>
    <row r="21" spans="1:2" ht="15.75">
      <c r="A21" s="215" t="s">
        <v>483</v>
      </c>
      <c r="B21" s="405">
        <f>+Overflows!D4</f>
        <v>0</v>
      </c>
    </row>
    <row r="22" spans="1:2" ht="15.75">
      <c r="A22" s="215" t="s">
        <v>484</v>
      </c>
      <c r="B22" s="405">
        <f>+Overflows!I4</f>
        <v>0</v>
      </c>
    </row>
    <row r="23" spans="1:10" ht="12.75">
      <c r="A23" s="495" t="s">
        <v>487</v>
      </c>
      <c r="B23" s="495"/>
      <c r="C23" s="495"/>
      <c r="D23" s="495"/>
      <c r="E23" s="495"/>
      <c r="F23" s="495"/>
      <c r="G23" s="495"/>
      <c r="H23" s="495"/>
      <c r="I23" s="495"/>
      <c r="J23" s="495"/>
    </row>
    <row r="24" spans="1:10" ht="12.75">
      <c r="A24" s="45"/>
      <c r="B24" s="645" t="s">
        <v>488</v>
      </c>
      <c r="C24" s="645"/>
      <c r="D24" s="645"/>
      <c r="E24" s="645" t="s">
        <v>475</v>
      </c>
      <c r="F24" s="645"/>
      <c r="G24" s="645"/>
      <c r="H24" s="45"/>
      <c r="I24" s="45"/>
      <c r="J24" s="45"/>
    </row>
    <row r="25" spans="1:10" ht="12.75">
      <c r="A25" s="45"/>
      <c r="B25" s="193" t="s">
        <v>489</v>
      </c>
      <c r="C25" s="193" t="s">
        <v>173</v>
      </c>
      <c r="D25" s="193" t="s">
        <v>490</v>
      </c>
      <c r="E25" s="193" t="s">
        <v>489</v>
      </c>
      <c r="F25" s="193" t="s">
        <v>173</v>
      </c>
      <c r="G25" s="193" t="s">
        <v>490</v>
      </c>
      <c r="H25" s="45"/>
      <c r="I25" s="45"/>
      <c r="J25" s="45"/>
    </row>
    <row r="26" spans="1:10" ht="15.75">
      <c r="A26" s="414" t="s">
        <v>491</v>
      </c>
      <c r="B26" s="634"/>
      <c r="C26" s="635"/>
      <c r="D26" s="412">
        <v>1</v>
      </c>
      <c r="E26" s="636">
        <f>+B26</f>
        <v>0</v>
      </c>
      <c r="F26" s="637"/>
      <c r="G26" s="413"/>
      <c r="H26" s="45"/>
      <c r="I26" s="45"/>
      <c r="J26" s="45"/>
    </row>
  </sheetData>
  <sheetProtection/>
  <mergeCells count="9">
    <mergeCell ref="B26:C26"/>
    <mergeCell ref="E26:F26"/>
    <mergeCell ref="A14:C14"/>
    <mergeCell ref="A2:J2"/>
    <mergeCell ref="A1:J1"/>
    <mergeCell ref="D20:E20"/>
    <mergeCell ref="A23:J23"/>
    <mergeCell ref="B24:D24"/>
    <mergeCell ref="E24:G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M122" sqref="M122"/>
    </sheetView>
  </sheetViews>
  <sheetFormatPr defaultColWidth="9.140625" defaultRowHeight="12.75"/>
  <cols>
    <col min="8" max="8" width="13.421875" style="0" customWidth="1"/>
  </cols>
  <sheetData/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&amp;C&amp;"Courier New,Bold"&amp;12City of Oak Ridge WWTP
November 1999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7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6" sqref="A36"/>
    </sheetView>
  </sheetViews>
  <sheetFormatPr defaultColWidth="9.140625" defaultRowHeight="12.75"/>
  <cols>
    <col min="1" max="1" width="6.57421875" style="0" customWidth="1"/>
    <col min="2" max="2" width="9.7109375" style="0" customWidth="1"/>
    <col min="5" max="5" width="12.7109375" style="0" customWidth="1"/>
    <col min="6" max="6" width="10.57421875" style="0" customWidth="1"/>
    <col min="8" max="8" width="11.8515625" style="0" customWidth="1"/>
    <col min="9" max="9" width="11.7109375" style="0" customWidth="1"/>
    <col min="10" max="10" width="11.28125" style="0" customWidth="1"/>
    <col min="12" max="12" width="39.00390625" style="0" customWidth="1"/>
  </cols>
  <sheetData>
    <row r="1" spans="1:12" ht="21.75" customHeight="1">
      <c r="A1" s="502" t="s">
        <v>416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ht="19.5" customHeight="1">
      <c r="A2" s="503" t="s">
        <v>396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ht="18.75" customHeight="1">
      <c r="A3" s="478" t="s">
        <v>450</v>
      </c>
      <c r="B3" s="381"/>
      <c r="C3" s="647">
        <v>45383</v>
      </c>
      <c r="D3" s="647"/>
      <c r="E3" s="647"/>
      <c r="F3" s="647"/>
      <c r="G3" s="647"/>
      <c r="H3" s="647"/>
      <c r="I3" s="647"/>
      <c r="J3" s="647"/>
      <c r="K3" s="647"/>
      <c r="L3" s="648"/>
    </row>
    <row r="4" spans="1:12" ht="15" customHeight="1">
      <c r="A4" s="503" t="s">
        <v>278</v>
      </c>
      <c r="B4" s="173"/>
      <c r="C4" s="173"/>
      <c r="D4" s="173"/>
      <c r="E4" s="173"/>
      <c r="F4" s="173"/>
      <c r="G4" s="173"/>
      <c r="H4" s="173"/>
      <c r="I4" s="173"/>
      <c r="J4" s="173"/>
      <c r="K4" s="206"/>
      <c r="L4" s="646" t="s">
        <v>397</v>
      </c>
    </row>
    <row r="5" spans="1:12" ht="15" customHeight="1">
      <c r="A5" s="503"/>
      <c r="B5" s="173"/>
      <c r="C5" s="173"/>
      <c r="D5" s="173"/>
      <c r="E5" s="173"/>
      <c r="F5" s="173"/>
      <c r="G5" s="173"/>
      <c r="H5" s="173"/>
      <c r="I5" s="173"/>
      <c r="J5" s="173"/>
      <c r="K5" s="206"/>
      <c r="L5" s="646"/>
    </row>
    <row r="6" spans="1:12" ht="15" customHeight="1">
      <c r="A6" s="193">
        <v>1</v>
      </c>
      <c r="B6" s="296"/>
      <c r="C6" s="195"/>
      <c r="D6" s="195"/>
      <c r="E6" s="195"/>
      <c r="F6" s="196"/>
      <c r="G6" s="197"/>
      <c r="H6" s="194"/>
      <c r="I6" s="194"/>
      <c r="J6" s="194"/>
      <c r="K6" s="207"/>
      <c r="L6" s="436"/>
    </row>
    <row r="7" spans="1:12" ht="15" customHeight="1">
      <c r="A7" s="193">
        <v>2</v>
      </c>
      <c r="B7" s="194" t="s">
        <v>510</v>
      </c>
      <c r="C7" s="484">
        <v>10.74</v>
      </c>
      <c r="D7" s="195" t="s">
        <v>511</v>
      </c>
      <c r="E7" s="195" t="s">
        <v>515</v>
      </c>
      <c r="F7" s="196" t="s">
        <v>516</v>
      </c>
      <c r="G7" s="197" t="s">
        <v>512</v>
      </c>
      <c r="H7" s="194" t="s">
        <v>513</v>
      </c>
      <c r="I7" s="194" t="s">
        <v>517</v>
      </c>
      <c r="J7" s="194" t="s">
        <v>518</v>
      </c>
      <c r="K7" s="207"/>
      <c r="L7" s="210" t="s">
        <v>519</v>
      </c>
    </row>
    <row r="8" spans="1:12" ht="15" customHeight="1">
      <c r="A8" s="193">
        <v>3</v>
      </c>
      <c r="B8" s="194"/>
      <c r="C8" s="195"/>
      <c r="D8" s="195"/>
      <c r="E8" s="195"/>
      <c r="F8" s="196"/>
      <c r="G8" s="197"/>
      <c r="H8" s="194"/>
      <c r="I8" s="194"/>
      <c r="J8" s="194"/>
      <c r="K8" s="207"/>
      <c r="L8" s="210"/>
    </row>
    <row r="9" spans="1:12" ht="15" customHeight="1">
      <c r="A9" s="193">
        <v>4</v>
      </c>
      <c r="B9" s="194"/>
      <c r="C9" s="195"/>
      <c r="D9" s="195"/>
      <c r="E9" s="195"/>
      <c r="F9" s="196"/>
      <c r="G9" s="197"/>
      <c r="H9" s="194"/>
      <c r="I9" s="194"/>
      <c r="J9" s="194"/>
      <c r="K9" s="207"/>
      <c r="L9" s="210"/>
    </row>
    <row r="10" spans="1:12" ht="15" customHeight="1">
      <c r="A10" s="193">
        <v>5</v>
      </c>
      <c r="B10" s="194" t="s">
        <v>510</v>
      </c>
      <c r="C10" s="484">
        <v>10.79</v>
      </c>
      <c r="D10" s="195" t="s">
        <v>511</v>
      </c>
      <c r="E10" s="195" t="s">
        <v>515</v>
      </c>
      <c r="F10" s="196" t="s">
        <v>516</v>
      </c>
      <c r="G10" s="197" t="s">
        <v>512</v>
      </c>
      <c r="H10" s="194" t="s">
        <v>513</v>
      </c>
      <c r="I10" s="194" t="s">
        <v>517</v>
      </c>
      <c r="J10" s="194" t="s">
        <v>518</v>
      </c>
      <c r="K10" s="207"/>
      <c r="L10" s="210" t="s">
        <v>520</v>
      </c>
    </row>
    <row r="11" spans="1:12" ht="15" customHeight="1">
      <c r="A11" s="193">
        <v>6</v>
      </c>
      <c r="B11" s="194"/>
      <c r="C11" s="484"/>
      <c r="D11" s="195"/>
      <c r="E11" s="195"/>
      <c r="F11" s="196"/>
      <c r="G11" s="197"/>
      <c r="H11" s="194"/>
      <c r="I11" s="194"/>
      <c r="J11" s="194"/>
      <c r="K11" s="207"/>
      <c r="L11" s="210"/>
    </row>
    <row r="12" spans="1:12" ht="15" customHeight="1">
      <c r="A12" s="193">
        <v>7</v>
      </c>
      <c r="B12" s="194"/>
      <c r="C12" s="195"/>
      <c r="D12" s="195"/>
      <c r="E12" s="195"/>
      <c r="F12" s="196"/>
      <c r="G12" s="197"/>
      <c r="H12" s="194"/>
      <c r="I12" s="194"/>
      <c r="J12" s="194"/>
      <c r="K12" s="207"/>
      <c r="L12" s="210"/>
    </row>
    <row r="13" spans="1:12" ht="15" customHeight="1">
      <c r="A13" s="193">
        <v>8</v>
      </c>
      <c r="B13" s="194"/>
      <c r="C13" s="195"/>
      <c r="D13" s="195"/>
      <c r="E13" s="195"/>
      <c r="F13" s="196"/>
      <c r="G13" s="197"/>
      <c r="H13" s="194"/>
      <c r="I13" s="194"/>
      <c r="J13" s="194"/>
      <c r="K13" s="207"/>
      <c r="L13" s="210"/>
    </row>
    <row r="14" spans="1:12" ht="15" customHeight="1">
      <c r="A14" s="193">
        <v>9</v>
      </c>
      <c r="B14" s="194" t="s">
        <v>510</v>
      </c>
      <c r="C14" s="484">
        <v>12.32</v>
      </c>
      <c r="D14" s="195" t="s">
        <v>511</v>
      </c>
      <c r="E14" s="195" t="s">
        <v>515</v>
      </c>
      <c r="F14" s="196" t="s">
        <v>516</v>
      </c>
      <c r="G14" s="197" t="s">
        <v>512</v>
      </c>
      <c r="H14" s="194" t="s">
        <v>513</v>
      </c>
      <c r="I14" s="194" t="s">
        <v>517</v>
      </c>
      <c r="J14" s="194" t="s">
        <v>518</v>
      </c>
      <c r="K14" s="207"/>
      <c r="L14" s="210" t="s">
        <v>521</v>
      </c>
    </row>
    <row r="15" spans="1:12" ht="15" customHeight="1">
      <c r="A15" s="193">
        <v>10</v>
      </c>
      <c r="B15" s="194"/>
      <c r="C15" s="195"/>
      <c r="D15" s="195"/>
      <c r="E15" s="195"/>
      <c r="F15" s="196"/>
      <c r="G15" s="197"/>
      <c r="H15" s="194"/>
      <c r="I15" s="194"/>
      <c r="J15" s="194"/>
      <c r="K15" s="207"/>
      <c r="L15" s="210"/>
    </row>
    <row r="16" spans="1:12" ht="15" customHeight="1">
      <c r="A16" s="193">
        <v>11</v>
      </c>
      <c r="B16" s="194"/>
      <c r="C16" s="195"/>
      <c r="D16" s="195"/>
      <c r="E16" s="195"/>
      <c r="F16" s="196"/>
      <c r="G16" s="197"/>
      <c r="H16" s="194"/>
      <c r="I16" s="194"/>
      <c r="J16" s="194"/>
      <c r="K16" s="207"/>
      <c r="L16" s="210"/>
    </row>
    <row r="17" spans="1:12" ht="15" customHeight="1">
      <c r="A17" s="193">
        <v>12</v>
      </c>
      <c r="B17" s="194"/>
      <c r="C17" s="195"/>
      <c r="D17" s="195"/>
      <c r="E17" s="195"/>
      <c r="F17" s="196"/>
      <c r="G17" s="197"/>
      <c r="H17" s="194"/>
      <c r="I17" s="194"/>
      <c r="J17" s="194"/>
      <c r="K17" s="207"/>
      <c r="L17" s="210"/>
    </row>
    <row r="18" spans="1:12" ht="15" customHeight="1">
      <c r="A18" s="193">
        <v>13</v>
      </c>
      <c r="B18" s="194"/>
      <c r="C18" s="195"/>
      <c r="D18" s="195"/>
      <c r="E18" s="195"/>
      <c r="F18" s="196"/>
      <c r="G18" s="197"/>
      <c r="H18" s="194"/>
      <c r="I18" s="194"/>
      <c r="J18" s="194"/>
      <c r="K18" s="207"/>
      <c r="L18" s="210"/>
    </row>
    <row r="19" spans="1:12" ht="15" customHeight="1">
      <c r="A19" s="193">
        <v>14</v>
      </c>
      <c r="B19" s="194"/>
      <c r="C19" s="195"/>
      <c r="D19" s="195"/>
      <c r="E19" s="195"/>
      <c r="F19" s="196"/>
      <c r="G19" s="197"/>
      <c r="H19" s="194"/>
      <c r="I19" s="194"/>
      <c r="J19" s="194"/>
      <c r="K19" s="207"/>
      <c r="L19" s="210"/>
    </row>
    <row r="20" spans="1:12" ht="15" customHeight="1">
      <c r="A20" s="193">
        <v>15</v>
      </c>
      <c r="B20" s="194" t="s">
        <v>510</v>
      </c>
      <c r="C20" s="484">
        <v>8.17</v>
      </c>
      <c r="D20" s="195" t="s">
        <v>511</v>
      </c>
      <c r="E20" s="195" t="s">
        <v>515</v>
      </c>
      <c r="F20" s="196" t="s">
        <v>516</v>
      </c>
      <c r="G20" s="197" t="s">
        <v>512</v>
      </c>
      <c r="H20" s="194" t="s">
        <v>513</v>
      </c>
      <c r="I20" s="194" t="s">
        <v>517</v>
      </c>
      <c r="J20" s="194" t="s">
        <v>518</v>
      </c>
      <c r="K20" s="207"/>
      <c r="L20" s="210" t="s">
        <v>525</v>
      </c>
    </row>
    <row r="21" spans="1:12" ht="15" customHeight="1">
      <c r="A21" s="193">
        <v>16</v>
      </c>
      <c r="B21" s="194"/>
      <c r="C21" s="195"/>
      <c r="D21" s="195"/>
      <c r="E21" s="195"/>
      <c r="F21" s="196"/>
      <c r="G21" s="197"/>
      <c r="H21" s="194"/>
      <c r="I21" s="194"/>
      <c r="J21" s="194"/>
      <c r="K21" s="207"/>
      <c r="L21" s="210"/>
    </row>
    <row r="22" spans="1:12" ht="15" customHeight="1">
      <c r="A22" s="193">
        <v>17</v>
      </c>
      <c r="B22" s="194"/>
      <c r="C22" s="195"/>
      <c r="D22" s="195"/>
      <c r="E22" s="195"/>
      <c r="F22" s="196"/>
      <c r="G22" s="197"/>
      <c r="H22" s="194"/>
      <c r="I22" s="194"/>
      <c r="J22" s="194"/>
      <c r="K22" s="207"/>
      <c r="L22" s="210"/>
    </row>
    <row r="23" spans="1:12" ht="15" customHeight="1">
      <c r="A23" s="193">
        <v>18</v>
      </c>
      <c r="B23" s="194"/>
      <c r="C23" s="195"/>
      <c r="D23" s="195"/>
      <c r="E23" s="195"/>
      <c r="F23" s="196"/>
      <c r="G23" s="197"/>
      <c r="H23" s="194"/>
      <c r="I23" s="194"/>
      <c r="J23" s="194"/>
      <c r="K23" s="207"/>
      <c r="L23" s="210"/>
    </row>
    <row r="24" spans="1:12" ht="15" customHeight="1">
      <c r="A24" s="193">
        <v>19</v>
      </c>
      <c r="B24" s="194"/>
      <c r="C24" s="195"/>
      <c r="D24" s="195"/>
      <c r="E24" s="195"/>
      <c r="F24" s="196"/>
      <c r="G24" s="197"/>
      <c r="H24" s="194"/>
      <c r="I24" s="194"/>
      <c r="J24" s="194"/>
      <c r="K24" s="207"/>
      <c r="L24" s="210"/>
    </row>
    <row r="25" spans="1:12" ht="15" customHeight="1">
      <c r="A25" s="193">
        <v>20</v>
      </c>
      <c r="B25" s="194"/>
      <c r="C25" s="195"/>
      <c r="D25" s="195"/>
      <c r="E25" s="195"/>
      <c r="F25" s="196"/>
      <c r="G25" s="197"/>
      <c r="H25" s="194"/>
      <c r="I25" s="194"/>
      <c r="J25" s="194"/>
      <c r="K25" s="207"/>
      <c r="L25" s="210"/>
    </row>
    <row r="26" spans="1:12" ht="15" customHeight="1">
      <c r="A26" s="193">
        <v>21</v>
      </c>
      <c r="B26" s="194"/>
      <c r="C26" s="195"/>
      <c r="D26" s="195"/>
      <c r="E26" s="195"/>
      <c r="F26" s="196"/>
      <c r="G26" s="197"/>
      <c r="H26" s="194"/>
      <c r="I26" s="194"/>
      <c r="J26" s="194"/>
      <c r="K26" s="207"/>
      <c r="L26" s="210"/>
    </row>
    <row r="27" spans="1:12" ht="15" customHeight="1">
      <c r="A27" s="193">
        <v>22</v>
      </c>
      <c r="B27" s="194"/>
      <c r="C27" s="195"/>
      <c r="D27" s="195"/>
      <c r="E27" s="195"/>
      <c r="F27" s="196"/>
      <c r="G27" s="197"/>
      <c r="H27" s="194"/>
      <c r="I27" s="194"/>
      <c r="J27" s="194"/>
      <c r="K27" s="207"/>
      <c r="L27" s="210"/>
    </row>
    <row r="28" spans="1:12" ht="15" customHeight="1">
      <c r="A28" s="193">
        <v>23</v>
      </c>
      <c r="B28" s="194" t="s">
        <v>510</v>
      </c>
      <c r="C28" s="484">
        <v>9.75</v>
      </c>
      <c r="D28" s="195" t="s">
        <v>511</v>
      </c>
      <c r="E28" s="195" t="s">
        <v>515</v>
      </c>
      <c r="F28" s="196" t="s">
        <v>516</v>
      </c>
      <c r="G28" s="197" t="s">
        <v>512</v>
      </c>
      <c r="H28" s="194" t="s">
        <v>513</v>
      </c>
      <c r="I28" s="194" t="s">
        <v>517</v>
      </c>
      <c r="J28" s="194" t="s">
        <v>518</v>
      </c>
      <c r="K28" s="207"/>
      <c r="L28" s="210" t="s">
        <v>523</v>
      </c>
    </row>
    <row r="29" spans="1:12" ht="15" customHeight="1">
      <c r="A29" s="193">
        <v>24</v>
      </c>
      <c r="B29" s="194"/>
      <c r="C29" s="195"/>
      <c r="D29" s="195"/>
      <c r="E29" s="195"/>
      <c r="F29" s="196"/>
      <c r="G29" s="197"/>
      <c r="H29" s="194"/>
      <c r="I29" s="194"/>
      <c r="J29" s="194"/>
      <c r="K29" s="207"/>
      <c r="L29" s="210"/>
    </row>
    <row r="30" spans="1:12" ht="15" customHeight="1">
      <c r="A30" s="193">
        <v>25</v>
      </c>
      <c r="B30" s="194" t="s">
        <v>510</v>
      </c>
      <c r="C30" s="484">
        <v>8.31</v>
      </c>
      <c r="D30" s="195" t="s">
        <v>511</v>
      </c>
      <c r="E30" s="195" t="s">
        <v>515</v>
      </c>
      <c r="F30" s="196" t="s">
        <v>516</v>
      </c>
      <c r="G30" s="197" t="s">
        <v>512</v>
      </c>
      <c r="H30" s="194" t="s">
        <v>513</v>
      </c>
      <c r="I30" s="194" t="s">
        <v>517</v>
      </c>
      <c r="J30" s="194" t="s">
        <v>518</v>
      </c>
      <c r="K30" s="207"/>
      <c r="L30" s="210" t="s">
        <v>524</v>
      </c>
    </row>
    <row r="31" spans="1:12" ht="15" customHeight="1">
      <c r="A31" s="193">
        <v>26</v>
      </c>
      <c r="B31" s="194"/>
      <c r="C31" s="195"/>
      <c r="D31" s="195"/>
      <c r="E31" s="195"/>
      <c r="F31" s="196"/>
      <c r="G31" s="197"/>
      <c r="H31" s="194"/>
      <c r="I31" s="194"/>
      <c r="J31" s="194"/>
      <c r="K31" s="207"/>
      <c r="L31" s="210"/>
    </row>
    <row r="32" spans="1:12" ht="15" customHeight="1">
      <c r="A32" s="193">
        <v>27</v>
      </c>
      <c r="B32" s="194"/>
      <c r="C32" s="195"/>
      <c r="D32" s="195"/>
      <c r="E32" s="195"/>
      <c r="F32" s="196"/>
      <c r="G32" s="197"/>
      <c r="H32" s="194"/>
      <c r="I32" s="194"/>
      <c r="J32" s="194"/>
      <c r="K32" s="207"/>
      <c r="L32" s="210"/>
    </row>
    <row r="33" spans="1:12" ht="15" customHeight="1">
      <c r="A33" s="193">
        <v>28</v>
      </c>
      <c r="B33" s="194"/>
      <c r="C33" s="195"/>
      <c r="D33" s="195"/>
      <c r="E33" s="195"/>
      <c r="F33" s="196"/>
      <c r="G33" s="197"/>
      <c r="H33" s="194"/>
      <c r="I33" s="194"/>
      <c r="J33" s="194"/>
      <c r="K33" s="207"/>
      <c r="L33" s="210"/>
    </row>
    <row r="34" spans="1:12" ht="15" customHeight="1">
      <c r="A34" s="193">
        <v>29</v>
      </c>
      <c r="B34" s="194"/>
      <c r="C34" s="195"/>
      <c r="D34" s="195"/>
      <c r="E34" s="195"/>
      <c r="F34" s="196"/>
      <c r="G34" s="197"/>
      <c r="H34" s="194"/>
      <c r="I34" s="194"/>
      <c r="J34" s="194"/>
      <c r="K34" s="207"/>
      <c r="L34" s="210"/>
    </row>
    <row r="35" spans="1:12" ht="15" customHeight="1">
      <c r="A35" s="193">
        <v>30</v>
      </c>
      <c r="B35" s="194" t="s">
        <v>510</v>
      </c>
      <c r="C35" s="484">
        <v>9.9</v>
      </c>
      <c r="D35" s="195" t="s">
        <v>511</v>
      </c>
      <c r="E35" s="195" t="s">
        <v>515</v>
      </c>
      <c r="F35" s="196" t="s">
        <v>516</v>
      </c>
      <c r="G35" s="197" t="s">
        <v>512</v>
      </c>
      <c r="H35" s="194" t="s">
        <v>513</v>
      </c>
      <c r="I35" s="194" t="s">
        <v>517</v>
      </c>
      <c r="J35" s="194" t="s">
        <v>518</v>
      </c>
      <c r="K35" s="207"/>
      <c r="L35" s="210" t="s">
        <v>526</v>
      </c>
    </row>
    <row r="36" spans="1:12" ht="15" customHeight="1" thickBot="1">
      <c r="A36" s="192"/>
      <c r="B36" s="198"/>
      <c r="C36" s="199"/>
      <c r="D36" s="199"/>
      <c r="E36" s="199"/>
      <c r="F36" s="200"/>
      <c r="G36" s="201"/>
      <c r="H36" s="198"/>
      <c r="I36" s="198"/>
      <c r="J36" s="198"/>
      <c r="K36" s="208"/>
      <c r="L36" s="210"/>
    </row>
    <row r="37" spans="1:12" ht="15" customHeight="1" thickBot="1">
      <c r="A37" s="202" t="s">
        <v>199</v>
      </c>
      <c r="B37" s="203"/>
      <c r="C37" s="204"/>
      <c r="D37" s="205"/>
      <c r="E37" s="205"/>
      <c r="F37" s="205"/>
      <c r="G37" s="205"/>
      <c r="H37" s="203"/>
      <c r="I37" s="203"/>
      <c r="J37" s="203"/>
      <c r="K37" s="209"/>
      <c r="L37" s="211"/>
    </row>
    <row r="38" ht="24.75" customHeight="1"/>
    <row r="39" ht="24.75" customHeight="1"/>
    <row r="40" ht="24.75" customHeight="1"/>
  </sheetData>
  <sheetProtection/>
  <mergeCells count="5">
    <mergeCell ref="A1:L1"/>
    <mergeCell ref="A2:L2"/>
    <mergeCell ref="A4:A5"/>
    <mergeCell ref="L4:L5"/>
    <mergeCell ref="C3:L3"/>
  </mergeCells>
  <printOptions horizontalCentered="1" verticalCentered="1"/>
  <pageMargins left="0.25" right="0" top="0.25" bottom="0" header="0" footer="0"/>
  <pageSetup fitToHeight="1" fitToWidth="1" horizontalDpi="300" verticalDpi="3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402" customWidth="1"/>
    <col min="2" max="3" width="13.140625" style="0" customWidth="1"/>
    <col min="4" max="4" width="14.7109375" style="0" customWidth="1"/>
    <col min="7" max="7" width="13.28125" style="0" customWidth="1"/>
    <col min="8" max="8" width="12.8515625" style="0" customWidth="1"/>
    <col min="9" max="9" width="12.7109375" style="0" customWidth="1"/>
    <col min="10" max="10" width="14.421875" style="0" customWidth="1"/>
    <col min="11" max="11" width="15.7109375" style="0" customWidth="1"/>
    <col min="14" max="14" width="15.8515625" style="0" customWidth="1"/>
  </cols>
  <sheetData>
    <row r="1" spans="1:14" ht="19.5" customHeight="1">
      <c r="A1" s="503" t="s">
        <v>471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19.5" customHeight="1">
      <c r="A2" s="503" t="s">
        <v>472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14" ht="19.5" customHeight="1">
      <c r="A3" s="650">
        <v>45383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spans="1:14" ht="19.5" customHeight="1">
      <c r="A4" s="652" t="s">
        <v>479</v>
      </c>
      <c r="B4" s="652"/>
      <c r="C4" s="652"/>
      <c r="D4" s="406">
        <v>0</v>
      </c>
      <c r="E4" s="408"/>
      <c r="F4" s="653" t="s">
        <v>480</v>
      </c>
      <c r="G4" s="653"/>
      <c r="H4" s="653"/>
      <c r="I4" s="406">
        <f>+COUNTIF(G7:G30,"o")</f>
        <v>0</v>
      </c>
      <c r="J4" s="409"/>
      <c r="K4" s="409"/>
      <c r="L4" s="409"/>
      <c r="M4" s="409"/>
      <c r="N4" s="409"/>
    </row>
    <row r="5" spans="1:14" ht="19.5" customHeight="1">
      <c r="A5" s="407" t="s">
        <v>477</v>
      </c>
      <c r="B5" s="407" t="s">
        <v>473</v>
      </c>
      <c r="C5" s="407" t="s">
        <v>473</v>
      </c>
      <c r="D5" s="650" t="s">
        <v>473</v>
      </c>
      <c r="E5" s="650"/>
      <c r="F5" s="650"/>
      <c r="G5" s="407" t="s">
        <v>478</v>
      </c>
      <c r="H5" s="173" t="s">
        <v>474</v>
      </c>
      <c r="I5" s="407" t="s">
        <v>474</v>
      </c>
      <c r="J5" s="407" t="s">
        <v>474</v>
      </c>
      <c r="K5" s="407" t="s">
        <v>474</v>
      </c>
      <c r="L5" s="650"/>
      <c r="M5" s="650"/>
      <c r="N5" s="650"/>
    </row>
    <row r="6" spans="1:14" ht="19.5" customHeight="1">
      <c r="A6" s="173" t="s">
        <v>398</v>
      </c>
      <c r="B6" s="173" t="s">
        <v>278</v>
      </c>
      <c r="C6" s="173" t="s">
        <v>346</v>
      </c>
      <c r="D6" s="503" t="s">
        <v>77</v>
      </c>
      <c r="E6" s="503"/>
      <c r="F6" s="503"/>
      <c r="G6" s="173" t="s">
        <v>481</v>
      </c>
      <c r="H6" s="173" t="s">
        <v>278</v>
      </c>
      <c r="I6" s="173" t="s">
        <v>346</v>
      </c>
      <c r="J6" s="173" t="s">
        <v>475</v>
      </c>
      <c r="K6" s="173" t="s">
        <v>476</v>
      </c>
      <c r="L6" s="650" t="s">
        <v>397</v>
      </c>
      <c r="M6" s="650"/>
      <c r="N6" s="650"/>
    </row>
    <row r="7" spans="1:14" ht="19.5" customHeight="1">
      <c r="A7" s="481" t="s">
        <v>527</v>
      </c>
      <c r="B7" s="479" t="s">
        <v>528</v>
      </c>
      <c r="C7" s="491" t="s">
        <v>529</v>
      </c>
      <c r="D7" s="649" t="s">
        <v>530</v>
      </c>
      <c r="E7" s="649"/>
      <c r="F7" s="649"/>
      <c r="G7" s="481"/>
      <c r="H7" s="482"/>
      <c r="I7" s="480"/>
      <c r="J7" s="194"/>
      <c r="K7" s="194"/>
      <c r="L7" s="651"/>
      <c r="M7" s="651"/>
      <c r="N7" s="651"/>
    </row>
    <row r="8" spans="1:14" ht="19.5" customHeight="1">
      <c r="A8" s="383"/>
      <c r="B8" s="194"/>
      <c r="C8" s="480"/>
      <c r="D8" s="649"/>
      <c r="E8" s="649"/>
      <c r="F8" s="649"/>
      <c r="G8" s="481"/>
      <c r="H8" s="482"/>
      <c r="I8" s="480"/>
      <c r="J8" s="194"/>
      <c r="K8" s="194"/>
      <c r="L8" s="45"/>
      <c r="M8" s="45"/>
      <c r="N8" s="45"/>
    </row>
    <row r="9" spans="1:14" ht="19.5" customHeight="1">
      <c r="A9" s="383"/>
      <c r="B9" s="194"/>
      <c r="C9" s="480"/>
      <c r="D9" s="649"/>
      <c r="E9" s="649"/>
      <c r="F9" s="649"/>
      <c r="G9" s="481"/>
      <c r="H9" s="482"/>
      <c r="I9" s="480"/>
      <c r="J9" s="194"/>
      <c r="K9" s="194"/>
      <c r="L9" s="45"/>
      <c r="M9" s="45"/>
      <c r="N9" s="45"/>
    </row>
    <row r="10" spans="1:14" ht="19.5" customHeight="1">
      <c r="A10" s="383"/>
      <c r="B10" s="194"/>
      <c r="C10" s="480"/>
      <c r="D10" s="649"/>
      <c r="E10" s="649"/>
      <c r="F10" s="649"/>
      <c r="G10" s="481"/>
      <c r="H10" s="482"/>
      <c r="I10" s="480"/>
      <c r="J10" s="194"/>
      <c r="K10" s="194"/>
      <c r="L10" s="45"/>
      <c r="M10" s="45"/>
      <c r="N10" s="45"/>
    </row>
    <row r="11" spans="1:14" ht="19.5" customHeight="1">
      <c r="A11" s="383"/>
      <c r="B11" s="194"/>
      <c r="C11" s="480"/>
      <c r="D11" s="649"/>
      <c r="E11" s="649"/>
      <c r="F11" s="649"/>
      <c r="G11" s="481"/>
      <c r="H11" s="482"/>
      <c r="I11" s="480"/>
      <c r="J11" s="194"/>
      <c r="K11" s="194"/>
      <c r="L11" s="45"/>
      <c r="M11" s="45"/>
      <c r="N11" s="45"/>
    </row>
    <row r="12" spans="1:14" ht="19.5" customHeight="1">
      <c r="A12" s="383"/>
      <c r="B12" s="194"/>
      <c r="C12" s="480"/>
      <c r="D12" s="649"/>
      <c r="E12" s="649"/>
      <c r="F12" s="649"/>
      <c r="G12" s="481"/>
      <c r="H12" s="482"/>
      <c r="I12" s="480"/>
      <c r="J12" s="194"/>
      <c r="K12" s="194"/>
      <c r="L12" s="45"/>
      <c r="M12" s="45"/>
      <c r="N12" s="45"/>
    </row>
    <row r="13" spans="1:14" ht="19.5" customHeight="1">
      <c r="A13" s="383"/>
      <c r="B13" s="194"/>
      <c r="C13" s="480"/>
      <c r="D13" s="649"/>
      <c r="E13" s="649"/>
      <c r="F13" s="649"/>
      <c r="G13" s="481"/>
      <c r="H13" s="482"/>
      <c r="I13" s="480"/>
      <c r="J13" s="194"/>
      <c r="K13" s="194"/>
      <c r="L13" s="45"/>
      <c r="M13" s="45"/>
      <c r="N13" s="45"/>
    </row>
    <row r="14" spans="1:14" ht="19.5" customHeight="1">
      <c r="A14" s="383"/>
      <c r="B14" s="194"/>
      <c r="C14" s="480"/>
      <c r="D14" s="649"/>
      <c r="E14" s="649"/>
      <c r="F14" s="649"/>
      <c r="G14" s="481"/>
      <c r="H14" s="482"/>
      <c r="I14" s="480"/>
      <c r="J14" s="194"/>
      <c r="K14" s="194"/>
      <c r="L14" s="45"/>
      <c r="M14" s="45"/>
      <c r="N14" s="45"/>
    </row>
    <row r="15" spans="1:14" ht="19.5" customHeight="1">
      <c r="A15" s="383"/>
      <c r="B15" s="194"/>
      <c r="C15" s="480"/>
      <c r="D15" s="649"/>
      <c r="E15" s="649"/>
      <c r="F15" s="649"/>
      <c r="G15" s="481"/>
      <c r="H15" s="482"/>
      <c r="I15" s="480"/>
      <c r="J15" s="194"/>
      <c r="K15" s="194"/>
      <c r="L15" s="45"/>
      <c r="M15" s="45"/>
      <c r="N15" s="45"/>
    </row>
    <row r="16" spans="1:14" ht="19.5" customHeight="1">
      <c r="A16" s="383"/>
      <c r="B16" s="194"/>
      <c r="C16" s="480"/>
      <c r="D16" s="649"/>
      <c r="E16" s="649"/>
      <c r="F16" s="649"/>
      <c r="G16" s="481"/>
      <c r="H16" s="482"/>
      <c r="I16" s="480"/>
      <c r="J16" s="194"/>
      <c r="K16" s="194"/>
      <c r="L16" s="45"/>
      <c r="M16" s="45"/>
      <c r="N16" s="45"/>
    </row>
    <row r="17" spans="1:14" ht="19.5" customHeight="1">
      <c r="A17" s="383"/>
      <c r="B17" s="194"/>
      <c r="C17" s="480"/>
      <c r="D17" s="649"/>
      <c r="E17" s="649"/>
      <c r="F17" s="649"/>
      <c r="G17" s="481"/>
      <c r="H17" s="482"/>
      <c r="I17" s="480"/>
      <c r="J17" s="194"/>
      <c r="K17" s="194"/>
      <c r="L17" s="45"/>
      <c r="M17" s="45"/>
      <c r="N17" s="45"/>
    </row>
    <row r="18" spans="1:14" ht="19.5" customHeight="1">
      <c r="A18" s="383"/>
      <c r="B18" s="194"/>
      <c r="C18" s="480"/>
      <c r="D18" s="649"/>
      <c r="E18" s="649"/>
      <c r="F18" s="649"/>
      <c r="G18" s="481"/>
      <c r="H18" s="482"/>
      <c r="I18" s="480"/>
      <c r="J18" s="194"/>
      <c r="K18" s="194"/>
      <c r="L18" s="45"/>
      <c r="M18" s="45"/>
      <c r="N18" s="45"/>
    </row>
    <row r="19" spans="1:14" ht="19.5" customHeight="1">
      <c r="A19" s="383"/>
      <c r="B19" s="194"/>
      <c r="C19" s="480"/>
      <c r="D19" s="649"/>
      <c r="E19" s="649"/>
      <c r="F19" s="649"/>
      <c r="G19" s="481"/>
      <c r="H19" s="482"/>
      <c r="I19" s="480"/>
      <c r="J19" s="194"/>
      <c r="K19" s="194"/>
      <c r="L19" s="45"/>
      <c r="M19" s="45"/>
      <c r="N19" s="45"/>
    </row>
    <row r="20" spans="1:14" ht="19.5" customHeight="1">
      <c r="A20" s="383"/>
      <c r="B20" s="194"/>
      <c r="C20" s="480"/>
      <c r="D20" s="649"/>
      <c r="E20" s="649"/>
      <c r="F20" s="649"/>
      <c r="G20" s="481"/>
      <c r="H20" s="482"/>
      <c r="I20" s="480"/>
      <c r="J20" s="194"/>
      <c r="K20" s="194"/>
      <c r="L20" s="45"/>
      <c r="M20" s="45"/>
      <c r="N20" s="45"/>
    </row>
    <row r="21" spans="1:14" ht="19.5" customHeight="1">
      <c r="A21" s="383"/>
      <c r="B21" s="194"/>
      <c r="C21" s="480"/>
      <c r="D21" s="649"/>
      <c r="E21" s="649"/>
      <c r="F21" s="649"/>
      <c r="G21" s="481"/>
      <c r="H21" s="482"/>
      <c r="I21" s="480"/>
      <c r="J21" s="194"/>
      <c r="K21" s="194"/>
      <c r="L21" s="45"/>
      <c r="M21" s="45"/>
      <c r="N21" s="45"/>
    </row>
    <row r="22" spans="1:14" ht="19.5" customHeight="1">
      <c r="A22" s="383"/>
      <c r="B22" s="194"/>
      <c r="C22" s="480"/>
      <c r="D22" s="649"/>
      <c r="E22" s="649"/>
      <c r="F22" s="649"/>
      <c r="G22" s="481"/>
      <c r="H22" s="482"/>
      <c r="I22" s="480"/>
      <c r="J22" s="194"/>
      <c r="K22" s="194"/>
      <c r="L22" s="45"/>
      <c r="M22" s="45"/>
      <c r="N22" s="45"/>
    </row>
    <row r="23" spans="1:14" ht="19.5" customHeight="1">
      <c r="A23" s="481"/>
      <c r="B23" s="479"/>
      <c r="C23" s="480"/>
      <c r="D23" s="649"/>
      <c r="E23" s="649"/>
      <c r="F23" s="649"/>
      <c r="G23" s="481"/>
      <c r="H23" s="482"/>
      <c r="I23" s="480"/>
      <c r="J23" s="194"/>
      <c r="K23" s="194"/>
      <c r="L23" s="45"/>
      <c r="M23" s="45"/>
      <c r="N23" s="45"/>
    </row>
    <row r="24" spans="1:14" ht="19.5" customHeight="1">
      <c r="A24" s="481"/>
      <c r="B24" s="479"/>
      <c r="C24" s="480"/>
      <c r="D24" s="649"/>
      <c r="E24" s="649"/>
      <c r="F24" s="649"/>
      <c r="G24" s="481"/>
      <c r="H24" s="482"/>
      <c r="I24" s="480"/>
      <c r="J24" s="194"/>
      <c r="K24" s="194"/>
      <c r="L24" s="45"/>
      <c r="M24" s="45"/>
      <c r="N24" s="45"/>
    </row>
    <row r="25" spans="1:14" ht="19.5" customHeight="1">
      <c r="A25" s="481"/>
      <c r="B25" s="479"/>
      <c r="C25" s="480"/>
      <c r="D25" s="649"/>
      <c r="E25" s="649"/>
      <c r="F25" s="649"/>
      <c r="G25" s="481"/>
      <c r="H25" s="482"/>
      <c r="I25" s="480"/>
      <c r="J25" s="194"/>
      <c r="K25" s="194"/>
      <c r="L25" s="45"/>
      <c r="M25" s="45"/>
      <c r="N25" s="45"/>
    </row>
    <row r="26" spans="1:14" ht="19.5" customHeight="1">
      <c r="A26" s="481"/>
      <c r="B26" s="479"/>
      <c r="C26" s="480"/>
      <c r="D26" s="649"/>
      <c r="E26" s="649"/>
      <c r="F26" s="649"/>
      <c r="G26" s="481"/>
      <c r="H26" s="482"/>
      <c r="I26" s="480"/>
      <c r="J26" s="194"/>
      <c r="K26" s="194"/>
      <c r="L26" s="45"/>
      <c r="M26" s="45"/>
      <c r="N26" s="45"/>
    </row>
    <row r="27" spans="1:14" ht="19.5" customHeight="1">
      <c r="A27" s="383"/>
      <c r="B27" s="194"/>
      <c r="C27" s="480"/>
      <c r="D27" s="649"/>
      <c r="E27" s="649"/>
      <c r="F27" s="649"/>
      <c r="G27" s="481"/>
      <c r="H27" s="482"/>
      <c r="I27" s="480"/>
      <c r="J27" s="194"/>
      <c r="K27" s="194"/>
      <c r="L27" s="45"/>
      <c r="M27" s="45"/>
      <c r="N27" s="45"/>
    </row>
    <row r="28" spans="1:14" ht="19.5" customHeight="1">
      <c r="A28" s="383"/>
      <c r="B28" s="194"/>
      <c r="C28" s="480"/>
      <c r="D28" s="649"/>
      <c r="E28" s="649"/>
      <c r="F28" s="649"/>
      <c r="G28" s="481"/>
      <c r="H28" s="482"/>
      <c r="I28" s="480"/>
      <c r="J28" s="194"/>
      <c r="K28" s="194"/>
      <c r="L28" s="45"/>
      <c r="M28" s="45"/>
      <c r="N28" s="45"/>
    </row>
    <row r="29" spans="1:14" ht="19.5" customHeight="1">
      <c r="A29" s="383"/>
      <c r="B29" s="194"/>
      <c r="C29" s="480"/>
      <c r="D29" s="649"/>
      <c r="E29" s="649"/>
      <c r="F29" s="649"/>
      <c r="G29" s="481"/>
      <c r="H29" s="482"/>
      <c r="I29" s="480"/>
      <c r="J29" s="194"/>
      <c r="K29" s="194"/>
      <c r="L29" s="45"/>
      <c r="M29" s="45"/>
      <c r="N29" s="45"/>
    </row>
    <row r="30" spans="1:14" ht="19.5" customHeight="1">
      <c r="A30" s="383"/>
      <c r="B30" s="194"/>
      <c r="C30" s="480"/>
      <c r="D30" s="194"/>
      <c r="E30" s="194"/>
      <c r="F30" s="194"/>
      <c r="G30" s="194"/>
      <c r="H30" s="482"/>
      <c r="I30" s="480"/>
      <c r="J30" s="194"/>
      <c r="K30" s="194"/>
      <c r="L30" s="45"/>
      <c r="M30" s="45"/>
      <c r="N30" s="45"/>
    </row>
  </sheetData>
  <sheetProtection/>
  <mergeCells count="33">
    <mergeCell ref="A1:N1"/>
    <mergeCell ref="A2:N2"/>
    <mergeCell ref="D5:F5"/>
    <mergeCell ref="D6:F6"/>
    <mergeCell ref="D7:F7"/>
    <mergeCell ref="A3:N3"/>
    <mergeCell ref="A4:C4"/>
    <mergeCell ref="F4:H4"/>
    <mergeCell ref="D8:F8"/>
    <mergeCell ref="D9:F9"/>
    <mergeCell ref="D10:F10"/>
    <mergeCell ref="D11:F11"/>
    <mergeCell ref="D12:F12"/>
    <mergeCell ref="D13:F13"/>
    <mergeCell ref="D14:F14"/>
    <mergeCell ref="D15:F15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L5:N5"/>
    <mergeCell ref="L6:N6"/>
    <mergeCell ref="L7:N7"/>
    <mergeCell ref="D24:F24"/>
    <mergeCell ref="D25:F25"/>
    <mergeCell ref="D26:F26"/>
    <mergeCell ref="D27:F27"/>
    <mergeCell ref="D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Oak 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Langley</dc:creator>
  <cp:keywords/>
  <dc:description/>
  <cp:lastModifiedBy>Michael Payne</cp:lastModifiedBy>
  <cp:lastPrinted>2021-05-24T15:45:14Z</cp:lastPrinted>
  <dcterms:created xsi:type="dcterms:W3CDTF">1999-12-01T16:10:48Z</dcterms:created>
  <dcterms:modified xsi:type="dcterms:W3CDTF">2024-05-06T19:03:57Z</dcterms:modified>
  <cp:category/>
  <cp:version/>
  <cp:contentType/>
  <cp:contentStatus/>
</cp:coreProperties>
</file>