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20370" yWindow="65416" windowWidth="24240" windowHeight="13140" activeTab="0"/>
  </bookViews>
  <sheets>
    <sheet name="Plant 1" sheetId="1" r:id="rId1"/>
    <sheet name="P1 Filter-houses" sheetId="2" r:id="rId2"/>
  </sheets>
  <definedNames/>
  <calcPr calcId="191029"/>
  <extLst/>
</workbook>
</file>

<file path=xl/comments1.xml><?xml version="1.0" encoding="utf-8"?>
<comments xmlns="http://schemas.openxmlformats.org/spreadsheetml/2006/main">
  <authors>
    <author>argocd</author>
  </authors>
  <commentList>
    <comment ref="J5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L5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N5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P5" authorId="0">
      <text>
        <r>
          <rPr>
            <sz val="11"/>
            <color theme="1"/>
            <rFont val="Arial"/>
            <family val="2"/>
          </rPr>
          <t>Based on AP-42 section 11.7, Ceramics Products Manufacturing.
======</t>
        </r>
      </text>
    </comment>
    <comment ref="R5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T5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V5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J6" authorId="0">
      <text>
        <r>
          <rPr>
            <sz val="11"/>
            <color theme="1"/>
            <rFont val="Arial"/>
            <family val="2"/>
          </rPr>
          <t>Permitted rate
======</t>
        </r>
      </text>
    </comment>
    <comment ref="L6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N6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P6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R6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J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L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N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P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R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E13" authorId="0">
      <text>
        <r>
          <rPr>
            <sz val="11"/>
            <color theme="1"/>
            <rFont val="Arial"/>
            <family val="2"/>
          </rPr>
          <t>======
ID#AAAAN7YUZ2I
Microsoft Office User    (2021-08-16 18:36:02)
Renewal application submitted 20201230</t>
        </r>
      </text>
    </comment>
    <comment ref="J13" authorId="0">
      <text>
        <r>
          <rPr>
            <sz val="11"/>
            <color theme="1"/>
            <rFont val="Arial"/>
            <family val="2"/>
          </rPr>
          <t>Permit limit
======</t>
        </r>
      </text>
    </comment>
    <comment ref="J14" authorId="0">
      <text>
        <r>
          <rPr>
            <sz val="11"/>
            <color theme="1"/>
            <rFont val="Arial"/>
            <family val="2"/>
          </rPr>
          <t>Permitted rate
======</t>
        </r>
      </text>
    </comment>
    <comment ref="L14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N14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P14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R14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E15" authorId="0">
      <text>
        <r>
          <rPr>
            <sz val="11"/>
            <color theme="1"/>
            <rFont val="Arial"/>
            <family val="2"/>
          </rPr>
          <t>======
ID#AAAAN7YUZ20
Microsoft Office User    (2021-08-16 18:36:02)
Renewal application submitted 20201230</t>
        </r>
      </text>
    </comment>
    <comment ref="J15" authorId="0">
      <text>
        <r>
          <rPr>
            <sz val="11"/>
            <color theme="1"/>
            <rFont val="Arial"/>
            <family val="2"/>
          </rPr>
          <t>Stack test  - April 1, 2009 - performed on this source
======</t>
        </r>
      </text>
    </comment>
    <comment ref="L15" authorId="0">
      <text>
        <r>
          <rPr>
            <sz val="11"/>
            <color theme="1"/>
            <rFont val="Arial"/>
            <family val="2"/>
          </rPr>
          <t>Stack test  - April 1, 2009 - performed on this source
======</t>
        </r>
      </text>
    </comment>
    <comment ref="N15" authorId="0">
      <text>
        <r>
          <rPr>
            <sz val="11"/>
            <color theme="1"/>
            <rFont val="Arial"/>
            <family val="2"/>
          </rPr>
          <t>Stack test  - April 1, 2009 - performed on this source
======</t>
        </r>
      </text>
    </comment>
    <comment ref="P15" authorId="0">
      <text>
        <r>
          <rPr>
            <sz val="11"/>
            <color theme="1"/>
            <rFont val="Arial"/>
            <family val="2"/>
          </rPr>
          <t>Based on AP-42 section 11.7, Ceramics Products Manufacturing.
======</t>
        </r>
      </text>
    </comment>
    <comment ref="R15" authorId="0">
      <text>
        <r>
          <rPr>
            <sz val="11"/>
            <color theme="1"/>
            <rFont val="Arial"/>
            <family val="2"/>
          </rPr>
          <t>Stack test  - April 1, 2009 - performed on this source
======</t>
        </r>
      </text>
    </comment>
    <comment ref="T15" authorId="0">
      <text>
        <r>
          <rPr>
            <sz val="11"/>
            <color theme="1"/>
            <rFont val="Arial"/>
            <family val="2"/>
          </rPr>
          <t>Stack test  - April 1, 2009 - performed on this source
======</t>
        </r>
      </text>
    </comment>
    <comment ref="V15" authorId="0">
      <text>
        <r>
          <rPr>
            <sz val="11"/>
            <color theme="1"/>
            <rFont val="Arial"/>
            <family val="2"/>
          </rPr>
          <t>Stack test  - April 1, 2009 - performed on this source
======</t>
        </r>
      </text>
    </comment>
    <comment ref="J16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L16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N16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P16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R16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J1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L1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N1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P1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R1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E18" authorId="0">
      <text>
        <r>
          <rPr>
            <sz val="11"/>
            <color theme="1"/>
            <rFont val="Arial"/>
            <family val="2"/>
          </rPr>
          <t>======
ID#AAAAN7YUZ24
Microsoft Office User    (2021-08-16 18:36:02)
Renewal application submitted 20201230</t>
        </r>
      </text>
    </comment>
    <comment ref="J18" authorId="0">
      <text>
        <r>
          <rPr>
            <sz val="11"/>
            <color theme="1"/>
            <rFont val="Arial"/>
            <family val="2"/>
          </rPr>
          <t>Permit Limit
======</t>
        </r>
      </text>
    </comment>
    <comment ref="J19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L19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N19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P19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R19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J20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L20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N20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P20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R20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J21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L21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N21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P21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R21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Q22" authorId="0">
      <text>
        <r>
          <rPr>
            <sz val="11"/>
            <color theme="1"/>
            <rFont val="Arial"/>
            <family val="2"/>
          </rPr>
          <t>======
ID#AAAAN7YUZ2o
Mike Briggs    (2021-08-16 18:36:02)
8.19 tons during all intervals of 12 consecutive months</t>
        </r>
      </text>
    </comment>
    <comment ref="E23" authorId="0">
      <text>
        <r>
          <rPr>
            <sz val="11"/>
            <color theme="1"/>
            <rFont val="Arial"/>
            <family val="2"/>
          </rPr>
          <t>======
ID#AAAAN7YUZ2Y
Microsoft Office User    (2021-08-16 18:36:02)
Renewal application submitted 20201230</t>
        </r>
      </text>
    </comment>
    <comment ref="J23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L23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N23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P23" authorId="0">
      <text>
        <r>
          <rPr>
            <sz val="11"/>
            <color theme="1"/>
            <rFont val="Arial"/>
            <family val="2"/>
          </rPr>
          <t>Based on AP-42 section 11.7, Ceramics Products Manufacturing.
======</t>
        </r>
      </text>
    </comment>
    <comment ref="R23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T23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V23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E24" authorId="0">
      <text>
        <r>
          <rPr>
            <sz val="11"/>
            <color theme="1"/>
            <rFont val="Arial"/>
            <family val="2"/>
          </rPr>
          <t>======
ID#AAAAN7YUZ3A
Microsoft Office User    (2021-08-16 18:36:02)
Renewal application submitted 20201230</t>
        </r>
      </text>
    </comment>
    <comment ref="J24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L24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N24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P24" authorId="0">
      <text>
        <r>
          <rPr>
            <sz val="11"/>
            <color theme="1"/>
            <rFont val="Arial"/>
            <family val="2"/>
          </rPr>
          <t>Based on AP-42 section 11.7, Ceramics Products Manufacturing.
======</t>
        </r>
      </text>
    </comment>
    <comment ref="R24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T24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V24" authorId="0">
      <text>
        <r>
          <rPr>
            <sz val="11"/>
            <color theme="1"/>
            <rFont val="Arial"/>
            <family val="2"/>
          </rPr>
          <t>Stack Test - February 12, 2009 - on file
======</t>
        </r>
      </text>
    </comment>
    <comment ref="J25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L25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N25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P25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R25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E26" authorId="0">
      <text>
        <r>
          <rPr>
            <sz val="11"/>
            <color theme="1"/>
            <rFont val="Arial"/>
            <family val="2"/>
          </rPr>
          <t>======
ID#AAAAN7YUZ2U
Microsoft Office User    (2021-08-16 18:36:02)
Renewal application submitted 20201230</t>
        </r>
      </text>
    </comment>
    <comment ref="F26" authorId="0">
      <text>
        <r>
          <rPr>
            <sz val="11"/>
            <color theme="1"/>
            <rFont val="Arial"/>
            <family val="2"/>
          </rPr>
          <t>======
ID#AAAAN7YUZ2M
Mike Briggs    (2021-08-16 18:36:02)
The 3,330 lb rate is for the presses.  The 3,500 lb rate is for the glaze lines</t>
        </r>
      </text>
    </comment>
    <comment ref="J26" authorId="0">
      <text>
        <r>
          <rPr>
            <sz val="11"/>
            <color theme="1"/>
            <rFont val="Arial"/>
            <family val="2"/>
          </rPr>
          <t>Permitted rate
======</t>
        </r>
      </text>
    </comment>
    <comment ref="J2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L2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N2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P2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R27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E28" authorId="0">
      <text>
        <r>
          <rPr>
            <sz val="11"/>
            <color theme="1"/>
            <rFont val="Arial"/>
            <family val="2"/>
          </rPr>
          <t>======
ID#AAAAN7YUZ2c
Microsoft Office User    (2021-08-16 18:36:02)
Renewal application submitted 20201230</t>
        </r>
      </text>
    </comment>
    <comment ref="F28" authorId="0">
      <text>
        <r>
          <rPr>
            <sz val="11"/>
            <color theme="1"/>
            <rFont val="Arial"/>
            <family val="2"/>
          </rPr>
          <t>======
ID#AAAAN7YUZ2g
Mike Briggs    (2021-08-16 18:36:02)
Process Material Input Rates:
Circular Line: 2,884 lbs/hr
Line 5:  19,500 lbs/hr
Interstate Line:  3,908 lbs/hr
Trim Line:  3,176 lbs / hr</t>
        </r>
      </text>
    </comment>
    <comment ref="J28" authorId="0">
      <text>
        <r>
          <rPr>
            <sz val="11"/>
            <color theme="1"/>
            <rFont val="Arial"/>
            <family val="2"/>
          </rPr>
          <t>Permitted rate
======</t>
        </r>
      </text>
    </comment>
    <comment ref="E29" authorId="0">
      <text>
        <r>
          <rPr>
            <sz val="11"/>
            <color theme="1"/>
            <rFont val="Arial"/>
            <family val="2"/>
          </rPr>
          <t>======
ID#AAAAN7YUZ2A
Microsoft Office User    (2021-08-16 18:36:02)
Renewal application submitted 20201230</t>
        </r>
      </text>
    </comment>
    <comment ref="F29" authorId="0">
      <text>
        <r>
          <rPr>
            <sz val="11"/>
            <color theme="1"/>
            <rFont val="Arial"/>
            <family val="2"/>
          </rPr>
          <t>======
ID#AAAAN7YUZ3E
Mike Briggs    (2021-08-16 18:36:02)
Kiln #4 feeding: 8,200 lbs/hr
Kiln #4 glazing: 455 lbs/hr
Press #6 glazing: 8,639 lbs/hr
Trim Press #1 Glazing: 324 lbs/hr</t>
        </r>
      </text>
    </comment>
    <comment ref="J29" authorId="0">
      <text>
        <r>
          <rPr>
            <sz val="11"/>
            <color theme="1"/>
            <rFont val="Arial"/>
            <family val="2"/>
          </rPr>
          <t>Permitted rate
======</t>
        </r>
      </text>
    </comment>
    <comment ref="E30" authorId="0">
      <text>
        <r>
          <rPr>
            <sz val="11"/>
            <color theme="1"/>
            <rFont val="Arial"/>
            <family val="2"/>
          </rPr>
          <t>======
ID#AAAAN7YUZ2k
Microsoft Office User    (2021-08-16 18:36:02)
Renewal application submitted 20201230</t>
        </r>
      </text>
    </comment>
    <comment ref="J30" authorId="0">
      <text>
        <r>
          <rPr>
            <sz val="11"/>
            <color theme="1"/>
            <rFont val="Arial"/>
            <family val="2"/>
          </rPr>
          <t>Permitted Rate
======</t>
        </r>
      </text>
    </comment>
    <comment ref="J32" authorId="0">
      <text>
        <r>
          <rPr>
            <sz val="11"/>
            <color theme="1"/>
            <rFont val="Arial"/>
            <family val="2"/>
          </rPr>
          <t>AP-42, Section 3.3, Table 3.3-1 emission factors
======</t>
        </r>
      </text>
    </comment>
    <comment ref="L32" authorId="0">
      <text>
        <r>
          <rPr>
            <sz val="11"/>
            <color theme="1"/>
            <rFont val="Arial"/>
            <family val="2"/>
          </rPr>
          <t>AP-42, Section 3.3, Table 3.3-1 emission factors
======</t>
        </r>
      </text>
    </comment>
    <comment ref="N32" authorId="0">
      <text>
        <r>
          <rPr>
            <sz val="11"/>
            <color theme="1"/>
            <rFont val="Arial"/>
            <family val="2"/>
          </rPr>
          <t>AP-42, Section 3.3, Table 3.3-1 emission factors
======</t>
        </r>
      </text>
    </comment>
    <comment ref="P32" authorId="0">
      <text>
        <r>
          <rPr>
            <sz val="11"/>
            <color theme="1"/>
            <rFont val="Arial"/>
            <family val="2"/>
          </rPr>
          <t>AP-42, Section 3.3, Table 3.3-1 emission factors.  This is TOC not VOC
======</t>
        </r>
      </text>
    </comment>
    <comment ref="R32" authorId="0">
      <text>
        <r>
          <rPr>
            <sz val="11"/>
            <color theme="1"/>
            <rFont val="Arial"/>
            <family val="2"/>
          </rPr>
          <t>AP-42, Section 3.3, Table 3.3-1 emission factors
======</t>
        </r>
      </text>
    </comment>
    <comment ref="J33" authorId="0">
      <text>
        <r>
          <rPr>
            <sz val="11"/>
            <color theme="1"/>
            <rFont val="Arial"/>
            <family val="2"/>
          </rPr>
          <t>AP-42, Section 3.3, Table 3.3-1 emission factors
======</t>
        </r>
      </text>
    </comment>
    <comment ref="L33" authorId="0">
      <text>
        <r>
          <rPr>
            <sz val="11"/>
            <color theme="1"/>
            <rFont val="Arial"/>
            <family val="2"/>
          </rPr>
          <t>AP-42, Section 3.3, Table 3.3-1 emission factors
======</t>
        </r>
      </text>
    </comment>
    <comment ref="N33" authorId="0">
      <text>
        <r>
          <rPr>
            <sz val="11"/>
            <color theme="1"/>
            <rFont val="Arial"/>
            <family val="2"/>
          </rPr>
          <t>AP-42, Section 3.3, Table 3.3-1 emission factors
======</t>
        </r>
      </text>
    </comment>
    <comment ref="P33" authorId="0">
      <text>
        <r>
          <rPr>
            <sz val="11"/>
            <color theme="1"/>
            <rFont val="Arial"/>
            <family val="2"/>
          </rPr>
          <t>AP-42, Section 3.3, Table 3.3-1 emission factors.  This is TOC not VOC
======</t>
        </r>
      </text>
    </comment>
    <comment ref="R33" authorId="0">
      <text>
        <r>
          <rPr>
            <sz val="11"/>
            <color theme="1"/>
            <rFont val="Arial"/>
            <family val="2"/>
          </rPr>
          <t>AP-42, Section 3.3, Table 3.3-1 emission factors
======</t>
        </r>
      </text>
    </comment>
    <comment ref="J34" authorId="0">
      <text>
        <r>
          <rPr>
            <sz val="11"/>
            <color theme="1"/>
            <rFont val="Arial"/>
            <family val="2"/>
          </rPr>
          <t>Estimated based on emissions data provided by the filter supplier
======</t>
        </r>
      </text>
    </comment>
    <comment ref="J35" authorId="0">
      <text>
        <r>
          <rPr>
            <sz val="11"/>
            <color theme="1"/>
            <rFont val="Arial"/>
            <family val="2"/>
          </rPr>
          <t>Estimated based on emissions data provided by the filter supplier. This unit exhaust inside. The facility is being considered a 50% efficient settling chamber
======</t>
        </r>
      </text>
    </comment>
    <comment ref="J36" authorId="0">
      <text>
        <r>
          <rPr>
            <sz val="11"/>
            <color theme="1"/>
            <rFont val="Arial"/>
            <family val="2"/>
          </rPr>
          <t>Estimated based on emissions data provided by the filter supplier
======</t>
        </r>
      </text>
    </comment>
    <comment ref="J37" authorId="0">
      <text>
        <r>
          <rPr>
            <sz val="11"/>
            <color theme="1"/>
            <rFont val="Arial"/>
            <family val="2"/>
          </rPr>
          <t>Estimated based on emissions data provided by the filter supplier
======</t>
        </r>
      </text>
    </comment>
    <comment ref="J38" authorId="0">
      <text>
        <r>
          <rPr>
            <sz val="11"/>
            <color theme="1"/>
            <rFont val="Arial"/>
            <family val="2"/>
          </rPr>
          <t>Estimated based on emissions data provided by the filter supplier
======</t>
        </r>
      </text>
    </comment>
    <comment ref="J39" authorId="0">
      <text>
        <r>
          <rPr>
            <sz val="11"/>
            <color theme="1"/>
            <rFont val="Arial"/>
            <family val="2"/>
          </rPr>
          <t>Estimated based on emissions data provided by the filter supplier. This unit exhaust inside. The facility is being considered a 50% efficient settling chamber
======</t>
        </r>
      </text>
    </comment>
    <comment ref="J40" authorId="0">
      <text>
        <r>
          <rPr>
            <sz val="11"/>
            <color theme="1"/>
            <rFont val="Arial"/>
            <family val="2"/>
          </rPr>
          <t>Estimated based on emissions data provided by the filter supplier
======</t>
        </r>
      </text>
    </comment>
    <comment ref="J41" authorId="0">
      <text>
        <r>
          <rPr>
            <sz val="11"/>
            <color theme="1"/>
            <rFont val="Arial"/>
            <family val="2"/>
          </rPr>
          <t>Estimated based on emissions data provided by the filter supplier. This unit exhaust inside. The facility is being considered a 50% efficient settling chamber
======</t>
        </r>
      </text>
    </comment>
    <comment ref="J42" authorId="0">
      <text>
        <r>
          <rPr>
            <sz val="11"/>
            <color theme="1"/>
            <rFont val="Arial"/>
            <family val="2"/>
          </rPr>
          <t>Estimated based on emissions data provided by the filter supplier
======</t>
        </r>
      </text>
    </comment>
    <comment ref="J43" authorId="0">
      <text>
        <r>
          <rPr>
            <sz val="11"/>
            <color theme="1"/>
            <rFont val="Arial"/>
            <family val="2"/>
          </rPr>
          <t>Estimated based on emissions data provided by the filter supplier. This unit exhaust inside. The facility is being considered a 50% efficient settling chamber
======</t>
        </r>
      </text>
    </comment>
    <comment ref="J44" authorId="0">
      <text>
        <r>
          <rPr>
            <sz val="11"/>
            <color theme="1"/>
            <rFont val="Arial"/>
            <family val="2"/>
          </rPr>
          <t>Estimated based on emissions data provided by the filter supplier. This unit exhaust inside. The facility is being considered a 50% efficient settling chamber
======</t>
        </r>
      </text>
    </comment>
    <comment ref="J45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L45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N45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P45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  <comment ref="R45" authorId="0">
      <text>
        <r>
          <rPr>
            <sz val="11"/>
            <color theme="1"/>
            <rFont val="Arial"/>
            <family val="2"/>
          </rPr>
          <t>AP-42 factors for natural gas combustion section 1.4
======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L18" authorId="0">
      <text>
        <r>
          <rPr>
            <sz val="11"/>
            <color theme="1"/>
            <rFont val="Arial"/>
            <family val="2"/>
          </rPr>
          <t>worst case. This is only possible with no static pressure.
======</t>
        </r>
      </text>
    </comment>
  </commentList>
</comments>
</file>

<file path=xl/sharedStrings.xml><?xml version="1.0" encoding="utf-8"?>
<sst xmlns="http://schemas.openxmlformats.org/spreadsheetml/2006/main" count="465" uniqueCount="236">
  <si>
    <t>Air Contaminant Sources - Potential to Emit, Uncontrolled</t>
  </si>
  <si>
    <t>Source #</t>
  </si>
  <si>
    <t>Description</t>
  </si>
  <si>
    <t>Status</t>
  </si>
  <si>
    <t>Permit Number</t>
  </si>
  <si>
    <t>Expires</t>
  </si>
  <si>
    <t>Process Material Input Rate, lbs / hr</t>
  </si>
  <si>
    <t>Process Material Input Rate, tons / hr</t>
  </si>
  <si>
    <t>Design Heat Input Capacity, MMbtu / hr</t>
  </si>
  <si>
    <t>Fuel</t>
  </si>
  <si>
    <t>Particulate Matter, lbs / hr</t>
  </si>
  <si>
    <t>Particulate Matter, tons / yr</t>
  </si>
  <si>
    <t>Sulfur Dioxide, lbs / hr</t>
  </si>
  <si>
    <t>Sulfur Dioxide, tons / yr</t>
  </si>
  <si>
    <t>Carbon Monoxide, lbs / hr</t>
  </si>
  <si>
    <t>Carbon Monoxide, tons / yr</t>
  </si>
  <si>
    <t>Volatile Organic Compounds, lbs / hr</t>
  </si>
  <si>
    <t>Volatile Organic Compounds, tons / yr</t>
  </si>
  <si>
    <t>Nitrogen Oxides, lbs / hr</t>
  </si>
  <si>
    <t>Nitrogen Oxides, tons / yr</t>
  </si>
  <si>
    <t>Hydrogen Chloride, lbs / hr</t>
  </si>
  <si>
    <t>Hydrogen Chloride, tons / yr</t>
  </si>
  <si>
    <t>Hydrogen Fluoride, lbs / hr</t>
  </si>
  <si>
    <t>Hydrogen Fluoride, tons / yr</t>
  </si>
  <si>
    <t>18-0086-01</t>
  </si>
  <si>
    <t>Removed</t>
  </si>
  <si>
    <t>N/A</t>
  </si>
  <si>
    <t>18-0086-02</t>
  </si>
  <si>
    <t>Rapid Drying of Pressed Ceramic Tile PWR 4,063 Pounds Per Hour PES D-3550, Out of Operation</t>
  </si>
  <si>
    <t>18-0086-03</t>
  </si>
  <si>
    <t>Two Natural Gas-Fired Tunnel Kilns (K-1, K-2)</t>
  </si>
  <si>
    <t>Active</t>
  </si>
  <si>
    <t>075669</t>
  </si>
  <si>
    <t>Natural Gas or Propane</t>
  </si>
  <si>
    <t>18-0086-04</t>
  </si>
  <si>
    <t>Natural Gas-Fired Spray Dryer #1 with Cyclone &amp; Wet Scrubber Control</t>
  </si>
  <si>
    <t>18-0086-05</t>
  </si>
  <si>
    <t>Natural Gas-Fired Heater PES UH-3000</t>
  </si>
  <si>
    <t>Insignificant</t>
  </si>
  <si>
    <t>18-0086-06</t>
  </si>
  <si>
    <t>Natural Gas Fired Kiln PES K-4700, Combined w/ Source 18-0086-03</t>
  </si>
  <si>
    <t>Combined w/ source 03</t>
  </si>
  <si>
    <t>18-0086-07</t>
  </si>
  <si>
    <t>K3E-4900 Natural Gas Fired Tunnel Kiln 6.0 MM BTU/hr, Out of Operation</t>
  </si>
  <si>
    <t>18-0086-08</t>
  </si>
  <si>
    <t>Natural Gas Fired Tunnel Kiln K3I-5000 6.0 MM Btu/hr. PWR 3,464 lb/hr., Out of Operation</t>
  </si>
  <si>
    <t>18-0086-09</t>
  </si>
  <si>
    <t>Rapid Dryer for Pressed Ceramic Tile PWR 4,063 lb/hr. PES D5-3550, Out of Operation</t>
  </si>
  <si>
    <t>18-0086-10</t>
  </si>
  <si>
    <t>Rapid Dryer for Pressed Ceramic Tile PWR 4,063 lb/hr. PES D4-3550, Out of Operation</t>
  </si>
  <si>
    <t>18-0086-11</t>
  </si>
  <si>
    <t>Dust Collection System with Baghouse (F-4) for Transfer Points from Conveyor to Conveyor and Drop Points into Press Silo</t>
  </si>
  <si>
    <t>063340P</t>
  </si>
  <si>
    <t>18-0086-12</t>
  </si>
  <si>
    <t>Natural Gas-Fired Spray Dryer for Ceramic/Clay Press Body with Cyclone and Wet Scrubber Control</t>
  </si>
  <si>
    <t>066746P</t>
  </si>
  <si>
    <t>18-0086-13</t>
  </si>
  <si>
    <t>One Natural Gas-Fired Roller Kiln (#4)</t>
  </si>
  <si>
    <t>063490P</t>
  </si>
  <si>
    <t>18-0086-14</t>
  </si>
  <si>
    <t>Natural Gas-Fired Tunnel Dryer No. 1 (TD1)</t>
  </si>
  <si>
    <t>18-0086-15</t>
  </si>
  <si>
    <t>Natural Gas-Fired Tunnel Dryer No. 2 (TD2)</t>
  </si>
  <si>
    <t>18-0086-16</t>
  </si>
  <si>
    <t>Vertical Talc Silo With Fabric Filter Bin Vent (F-6)</t>
  </si>
  <si>
    <t>063341P</t>
  </si>
  <si>
    <t>18-0086-17</t>
  </si>
  <si>
    <t>E.P.S. D-5 Pressed Tiles Drying Operation</t>
  </si>
  <si>
    <t>18-0086-18</t>
  </si>
  <si>
    <t>Ceramic Tile Dryer</t>
  </si>
  <si>
    <t>18-0086-19</t>
  </si>
  <si>
    <t>4 MMBTU/hr Natural Gas fired horizontal tile dryer</t>
  </si>
  <si>
    <t>18-0086-20</t>
  </si>
  <si>
    <t>Synthetic Tile Manufacturing Operation Consisting of an Open Molding Production Line with Two Spray Booths with Exhaust Filter Control.</t>
  </si>
  <si>
    <t>062404P</t>
  </si>
  <si>
    <t>18-0086-23</t>
  </si>
  <si>
    <t>One Mori Natural Gas-Fired Roller Kiln</t>
  </si>
  <si>
    <t>063467P</t>
  </si>
  <si>
    <t>18-0086-24</t>
  </si>
  <si>
    <t>One Siti Natural Gas-Fired Roller Kiln</t>
  </si>
  <si>
    <t>063406P</t>
  </si>
  <si>
    <t>18-0086-25</t>
  </si>
  <si>
    <t>Two Natural Gas-Fired Tile Dryers</t>
  </si>
  <si>
    <t>18-0086-26</t>
  </si>
  <si>
    <t>Three (3) Tile Presses and Two (2) Tile Glazing Lines With Baghouse (F-18) Control</t>
  </si>
  <si>
    <t>063407P</t>
  </si>
  <si>
    <t>3,300 / 3,500</t>
  </si>
  <si>
    <t>18-0086-27</t>
  </si>
  <si>
    <t>One New Natural Gas-Fired Tile Mounting Machine</t>
  </si>
  <si>
    <t>18-0086-28</t>
  </si>
  <si>
    <t>Four (4) Tile Glazing Lines With Four (4) Baghouses (F-9, F-14, F-15, F-16)  For Pollution Control</t>
  </si>
  <si>
    <t>063491P</t>
  </si>
  <si>
    <t>2,884 / 19,500 / 3,908 / 3,176</t>
  </si>
  <si>
    <t>18-0086-29</t>
  </si>
  <si>
    <t>Kiln #4  Loading Operation and Three Glaze Application Operations (Glazing Line at Entrance to Kiln #4, Press #6 Tile Glazing Booth, and Trim Press #1 Glazing Booth) With One Baghouse (F-13) For Pollution Control.</t>
  </si>
  <si>
    <t>064984P</t>
  </si>
  <si>
    <t>8,200 / 455 / 8,639 / 324</t>
  </si>
  <si>
    <t>18-0086-30</t>
  </si>
  <si>
    <t>Stain Milling Operation With One Baghouse (F-3) For Pollution Control</t>
  </si>
  <si>
    <t>064134P</t>
  </si>
  <si>
    <t>18-0086-31</t>
  </si>
  <si>
    <t>Glass Frosting Operation</t>
  </si>
  <si>
    <t>18-0086-32</t>
  </si>
  <si>
    <t>Emergency Stationary Compression Ignition (CI) Internal Combustion Engine (ICE)</t>
  </si>
  <si>
    <t>067499P</t>
  </si>
  <si>
    <t>Diesel</t>
  </si>
  <si>
    <t>18-0086-34</t>
  </si>
  <si>
    <t>Emergency Stationary Compression Ignition (CI) Internal Combustion Engine (ICE) P1 Main</t>
  </si>
  <si>
    <t>069919P</t>
  </si>
  <si>
    <t>Not Assigned</t>
  </si>
  <si>
    <t>Mingle SIlos Serviced by Baghouse F-1</t>
  </si>
  <si>
    <t>Color Room mezzanine Serviced by Baghouse F-2</t>
  </si>
  <si>
    <t>Housekeeping Vacuum F-5</t>
  </si>
  <si>
    <t>Raw Materials Bay Weigh Box Serviced by Baghouse F-7</t>
  </si>
  <si>
    <t>Ball Mill Loading Operation Serviced by Baghouse F-8</t>
  </si>
  <si>
    <t>Engobe Mixing Serviced by Baghouse F-10</t>
  </si>
  <si>
    <t>Press 6 Serviced by Baghouse F-11</t>
  </si>
  <si>
    <t>Mosaics Housekeeping Vacuum Serviced by Baghouse F-12</t>
  </si>
  <si>
    <t>Tile Pressing Serviced by Baghouse F-17</t>
  </si>
  <si>
    <t>Equipment Cleaning Room Serviced by Baghouse F-20</t>
  </si>
  <si>
    <t>Maintenance Welding Shop Serviced by Baghouse</t>
  </si>
  <si>
    <t>Natural Gas-fired Trim Tile Drier</t>
  </si>
  <si>
    <t>Total</t>
  </si>
  <si>
    <t>Desc.</t>
  </si>
  <si>
    <t>Qty.</t>
  </si>
  <si>
    <t>Source No.</t>
  </si>
  <si>
    <t>Name</t>
  </si>
  <si>
    <t>Location</t>
  </si>
  <si>
    <t>Make</t>
  </si>
  <si>
    <t>Model</t>
  </si>
  <si>
    <t>Serial #</t>
  </si>
  <si>
    <t>Model #</t>
  </si>
  <si>
    <t>GACT or NSPS</t>
  </si>
  <si>
    <t>Exhaust Location</t>
  </si>
  <si>
    <t>Flowrate (cfm)</t>
  </si>
  <si>
    <t>Exhaust P.M. Permitted</t>
  </si>
  <si>
    <t>Permitted Units</t>
  </si>
  <si>
    <t>Exhaust P.M. Concentration Guarantee gr/dscf</t>
  </si>
  <si>
    <t>Potential Emissions ton/yr</t>
  </si>
  <si>
    <t>Safety Factor</t>
  </si>
  <si>
    <t>Annual Emissions ton/yr</t>
  </si>
  <si>
    <t>Bag-house</t>
  </si>
  <si>
    <t>"F-11"</t>
  </si>
  <si>
    <t>Snyder General Corporation</t>
  </si>
  <si>
    <t>Pulse-Pak</t>
  </si>
  <si>
    <t>PS9300087</t>
  </si>
  <si>
    <t>1521012.811, Size: 1340L</t>
  </si>
  <si>
    <t>No</t>
  </si>
  <si>
    <t>Inside</t>
  </si>
  <si>
    <t>"F-8"</t>
  </si>
  <si>
    <t>MAC</t>
  </si>
  <si>
    <t>Mactiflo</t>
  </si>
  <si>
    <t>97-MTFF-03-008</t>
  </si>
  <si>
    <t>4MTF32</t>
  </si>
  <si>
    <t>Outside</t>
  </si>
  <si>
    <t>"F-13"</t>
  </si>
  <si>
    <t>AAF International</t>
  </si>
  <si>
    <t>Pulse Pak</t>
  </si>
  <si>
    <t>PS950036</t>
  </si>
  <si>
    <t>DES "S", Size: 670L, Style Code: PPKA0670LSFT54N11NAN1N</t>
  </si>
  <si>
    <t>"F-3"</t>
  </si>
  <si>
    <t>99-MTFF-06-003</t>
  </si>
  <si>
    <t>2MTF8MACTIFLO</t>
  </si>
  <si>
    <t>Maintenance</t>
  </si>
  <si>
    <t>Torit</t>
  </si>
  <si>
    <t>IG070424</t>
  </si>
  <si>
    <t>T-2000</t>
  </si>
  <si>
    <t>"F-1"</t>
  </si>
  <si>
    <t>In/Outside</t>
  </si>
  <si>
    <t>Hoffman room</t>
  </si>
  <si>
    <t>Griffin Environmental Company, Inc.</t>
  </si>
  <si>
    <t>VA-2-26</t>
  </si>
  <si>
    <t>Fired tile crushing</t>
  </si>
  <si>
    <t>MAC2FLO</t>
  </si>
  <si>
    <t>138240-001-1</t>
  </si>
  <si>
    <t>4M2F16 MAC2FLO FILTER</t>
  </si>
  <si>
    <t>"F-7"</t>
  </si>
  <si>
    <t>96-MTFF-02-003</t>
  </si>
  <si>
    <t>4MTF16MACTIFLOWFILTER</t>
  </si>
  <si>
    <t>"F10"</t>
  </si>
  <si>
    <t>PS930081</t>
  </si>
  <si>
    <t>1520220.811, Size 670L</t>
  </si>
  <si>
    <t>F-1</t>
  </si>
  <si>
    <t>Mingle SIlos</t>
  </si>
  <si>
    <t>F-2</t>
  </si>
  <si>
    <t>Color Room mezzanine</t>
  </si>
  <si>
    <t>FARR</t>
  </si>
  <si>
    <t>Tenkay</t>
  </si>
  <si>
    <t>97DC23857</t>
  </si>
  <si>
    <t>F-3</t>
  </si>
  <si>
    <t>Water Room</t>
  </si>
  <si>
    <t>lb / hr</t>
  </si>
  <si>
    <t>F-4</t>
  </si>
  <si>
    <t>Mingle Silos</t>
  </si>
  <si>
    <t>89 FMCF 06 000</t>
  </si>
  <si>
    <t>120 FMCF 361 - 331</t>
  </si>
  <si>
    <t>gr / dscf</t>
  </si>
  <si>
    <t>HEPA Filter</t>
  </si>
  <si>
    <t>F-5</t>
  </si>
  <si>
    <t>Housekeeping vacuum</t>
  </si>
  <si>
    <t>Bin-Vent</t>
  </si>
  <si>
    <t>F-6</t>
  </si>
  <si>
    <t>Talc SIlo</t>
  </si>
  <si>
    <t>F-7</t>
  </si>
  <si>
    <t>Raw materials bay weigh box</t>
  </si>
  <si>
    <t>F-8</t>
  </si>
  <si>
    <t>Ball Mill Loading Operation</t>
  </si>
  <si>
    <t>F-10</t>
  </si>
  <si>
    <t>Engobe Mixing</t>
  </si>
  <si>
    <t>F-11</t>
  </si>
  <si>
    <t>Press 6</t>
  </si>
  <si>
    <t>97-MTFF-08-002</t>
  </si>
  <si>
    <t>3MTF24 MACTIFLO FILTER</t>
  </si>
  <si>
    <t>F-12</t>
  </si>
  <si>
    <t>Mosaics Housekeeping Vacuum</t>
  </si>
  <si>
    <t>F-13</t>
  </si>
  <si>
    <t>K4 Entrance</t>
  </si>
  <si>
    <t>F-9</t>
  </si>
  <si>
    <t>Round Glaze Line</t>
  </si>
  <si>
    <t>F-14</t>
  </si>
  <si>
    <t>Press 5 Glaze Line</t>
  </si>
  <si>
    <t>F-15</t>
  </si>
  <si>
    <t>Glaze line next to Press 5 Line ( Trim Line )</t>
  </si>
  <si>
    <t>F-16</t>
  </si>
  <si>
    <t>Interstate Glaze Line</t>
  </si>
  <si>
    <t>F-17</t>
  </si>
  <si>
    <t>Tile Pressing</t>
  </si>
  <si>
    <t>F-18</t>
  </si>
  <si>
    <t>Mosaics</t>
  </si>
  <si>
    <t>17323-001-1</t>
  </si>
  <si>
    <t>551stc100 FLTR</t>
  </si>
  <si>
    <t>F-19</t>
  </si>
  <si>
    <t>Does not exist</t>
  </si>
  <si>
    <t>F-20</t>
  </si>
  <si>
    <t>Equipment cleaning room</t>
  </si>
  <si>
    <t>Maintenance Welding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</si>
</sst>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"/>
    <numFmt numFmtId="165" formatCode="0.000"/>
    <numFmt numFmtId="166" formatCode="0.0"/>
  </numFmts>
  <fonts count="9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9EAD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 wrapText="1"/>
    </xf>
    <xf numFmtId="9" fontId="0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0" fillId="2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166" fontId="0" fillId="2" borderId="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12"/>
  <sheetViews>
    <sheetView tabSelected="1" workbookViewId="0" topLeftCell="A1">
      <pane ySplit="2" topLeftCell="A9" activePane="bottomLeft" state="frozen"/>
      <selection pane="bottomLeft" activeCell="B4" sqref="B4"/>
    </sheetView>
  </sheetViews>
  <sheetFormatPr defaultColWidth="12.625" defaultRowHeight="15" customHeight="1"/>
  <cols>
    <col min="1" max="1" width="11.375" style="0" customWidth="1"/>
    <col min="2" max="2" width="35.25390625" style="0" customWidth="1"/>
    <col min="3" max="3" width="11.125" style="0" customWidth="1"/>
    <col min="4" max="4" width="8.875" style="0" customWidth="1"/>
    <col min="5" max="5" width="12.75390625" style="0" customWidth="1"/>
    <col min="6" max="6" width="12.00390625" style="0" customWidth="1"/>
    <col min="7" max="7" width="10.75390625" style="0" customWidth="1"/>
    <col min="8" max="8" width="11.00390625" style="0" customWidth="1"/>
    <col min="9" max="9" width="9.625" style="0" customWidth="1"/>
    <col min="10" max="10" width="11.125" style="0" customWidth="1"/>
    <col min="11" max="11" width="11.00390625" style="0" customWidth="1"/>
    <col min="12" max="12" width="8.50390625" style="0" customWidth="1"/>
    <col min="13" max="13" width="9.625" style="0" customWidth="1"/>
    <col min="14" max="14" width="10.125" style="0" customWidth="1"/>
    <col min="15" max="15" width="10.625" style="0" customWidth="1"/>
    <col min="16" max="17" width="12.125" style="0" customWidth="1"/>
    <col min="18" max="18" width="9.375" style="0" customWidth="1"/>
    <col min="19" max="19" width="8.50390625" style="0" customWidth="1"/>
    <col min="20" max="21" width="9.625" style="0" customWidth="1"/>
    <col min="22" max="22" width="9.875" style="0" customWidth="1"/>
    <col min="23" max="23" width="10.375" style="0" customWidth="1"/>
  </cols>
  <sheetData>
    <row r="1" spans="1:23" ht="15">
      <c r="A1" s="1"/>
      <c r="C1" s="1"/>
      <c r="D1" s="1"/>
      <c r="E1" s="1"/>
      <c r="F1" s="62" t="s">
        <v>0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</row>
    <row r="2" spans="1:23" ht="6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3" t="s">
        <v>22</v>
      </c>
      <c r="W2" s="3" t="s">
        <v>23</v>
      </c>
    </row>
    <row r="3" spans="1:23" ht="60" customHeight="1">
      <c r="A3" s="4" t="s">
        <v>24</v>
      </c>
      <c r="B3" s="5" t="s">
        <v>25</v>
      </c>
      <c r="C3" s="6" t="s">
        <v>25</v>
      </c>
      <c r="D3" s="4" t="s">
        <v>26</v>
      </c>
      <c r="E3" s="4" t="s">
        <v>26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60" customHeight="1">
      <c r="A4" s="4" t="s">
        <v>27</v>
      </c>
      <c r="B4" s="7" t="s">
        <v>28</v>
      </c>
      <c r="C4" s="6" t="s">
        <v>25</v>
      </c>
      <c r="D4" s="4" t="s">
        <v>26</v>
      </c>
      <c r="E4" s="4" t="s">
        <v>26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60" customHeight="1">
      <c r="A5" s="4" t="s">
        <v>29</v>
      </c>
      <c r="B5" s="8" t="s">
        <v>30</v>
      </c>
      <c r="C5" s="6" t="s">
        <v>31</v>
      </c>
      <c r="D5" s="9" t="s">
        <v>32</v>
      </c>
      <c r="E5" s="10">
        <v>47178</v>
      </c>
      <c r="F5" s="11">
        <v>8700</v>
      </c>
      <c r="G5" s="4"/>
      <c r="H5" s="4">
        <v>5.54</v>
      </c>
      <c r="I5" s="12" t="s">
        <v>33</v>
      </c>
      <c r="J5" s="13">
        <f>0.173*4350/4328.7*2</f>
        <v>0.34770254348880725</v>
      </c>
      <c r="K5" s="14">
        <f aca="true" t="shared" si="0" ref="K5:K7">J5*8760/2000</f>
        <v>1.5229371404809757</v>
      </c>
      <c r="L5" s="14">
        <f>1.31*4350/4328.7*2</f>
        <v>2.6328920923140897</v>
      </c>
      <c r="M5" s="15">
        <f aca="true" t="shared" si="1" ref="M5:M7">L5*8760/2000</f>
        <v>11.532067364335713</v>
      </c>
      <c r="N5" s="14">
        <f>2.62*4350/4328.7*2</f>
        <v>5.265784184628179</v>
      </c>
      <c r="O5" s="15">
        <f aca="true" t="shared" si="2" ref="O5:O7">N5*8760/2000</f>
        <v>23.064134728671426</v>
      </c>
      <c r="P5" s="15">
        <f>0.43*4350/2000*2</f>
        <v>1.8705</v>
      </c>
      <c r="Q5" s="15">
        <f aca="true" t="shared" si="3" ref="Q5:Q7">P5*8760/2000</f>
        <v>8.19279</v>
      </c>
      <c r="R5" s="14">
        <f>1.21*4350/4328.7*2</f>
        <v>2.431907963129808</v>
      </c>
      <c r="S5" s="15">
        <f aca="true" t="shared" si="4" ref="S5:S7">R5*8760/2000</f>
        <v>10.65175687850856</v>
      </c>
      <c r="T5" s="13">
        <f>0.068*4350/4328.7*2</f>
        <v>0.13666920784531153</v>
      </c>
      <c r="U5" s="13">
        <f>T5*8760/2000</f>
        <v>0.5986111303624645</v>
      </c>
      <c r="V5" s="14">
        <f>0.2*4350/4328.7*2</f>
        <v>0.4019682583685633</v>
      </c>
      <c r="W5" s="15">
        <f>V5*8760/2000</f>
        <v>1.7606209716543073</v>
      </c>
    </row>
    <row r="6" spans="1:23" ht="60" customHeight="1">
      <c r="A6" s="4" t="s">
        <v>34</v>
      </c>
      <c r="B6" s="8" t="s">
        <v>35</v>
      </c>
      <c r="C6" s="6" t="s">
        <v>31</v>
      </c>
      <c r="D6" s="9" t="s">
        <v>32</v>
      </c>
      <c r="E6" s="10">
        <v>47178</v>
      </c>
      <c r="F6" s="11">
        <v>17807</v>
      </c>
      <c r="G6" s="11"/>
      <c r="H6" s="4">
        <v>7.788</v>
      </c>
      <c r="I6" s="12" t="s">
        <v>33</v>
      </c>
      <c r="J6" s="6">
        <v>2.74</v>
      </c>
      <c r="K6" s="14">
        <f t="shared" si="0"/>
        <v>12.0012</v>
      </c>
      <c r="L6" s="15">
        <f>0.6/1000000*7635</f>
        <v>0.004581</v>
      </c>
      <c r="M6" s="15">
        <f t="shared" si="1"/>
        <v>0.020064779999999997</v>
      </c>
      <c r="N6" s="14">
        <f>84/1000000*7635</f>
        <v>0.6413399999999999</v>
      </c>
      <c r="O6" s="15">
        <f t="shared" si="2"/>
        <v>2.8090691999999993</v>
      </c>
      <c r="P6" s="14">
        <f>5.5/1000000*7635</f>
        <v>0.0419925</v>
      </c>
      <c r="Q6" s="14">
        <f t="shared" si="3"/>
        <v>0.18392715</v>
      </c>
      <c r="R6" s="13">
        <f>100/1000000*7635</f>
        <v>0.7635000000000001</v>
      </c>
      <c r="S6" s="14">
        <f t="shared" si="4"/>
        <v>3.3441300000000003</v>
      </c>
      <c r="T6" s="4"/>
      <c r="U6" s="4"/>
      <c r="V6" s="4"/>
      <c r="W6" s="4"/>
    </row>
    <row r="7" spans="1:23" ht="60" customHeight="1">
      <c r="A7" s="4" t="s">
        <v>36</v>
      </c>
      <c r="B7" s="8" t="s">
        <v>37</v>
      </c>
      <c r="C7" s="6" t="s">
        <v>38</v>
      </c>
      <c r="D7" s="4" t="s">
        <v>26</v>
      </c>
      <c r="E7" s="4" t="s">
        <v>26</v>
      </c>
      <c r="F7" s="4"/>
      <c r="G7" s="4"/>
      <c r="H7" s="6">
        <v>2.19</v>
      </c>
      <c r="I7" s="12" t="s">
        <v>33</v>
      </c>
      <c r="J7" s="16">
        <f>7.6/1000000*2147</f>
        <v>0.016317199999999997</v>
      </c>
      <c r="K7" s="14">
        <f t="shared" si="0"/>
        <v>0.07146933599999998</v>
      </c>
      <c r="L7" s="17">
        <f>0.6/1000000*2147</f>
        <v>0.0012882</v>
      </c>
      <c r="M7" s="15">
        <f t="shared" si="1"/>
        <v>0.0056423160000000005</v>
      </c>
      <c r="N7" s="16">
        <f>84/1000000*2147</f>
        <v>0.18034799999999998</v>
      </c>
      <c r="O7" s="14">
        <f t="shared" si="2"/>
        <v>0.7899242399999999</v>
      </c>
      <c r="P7" s="16">
        <f>5.5/1000000*2147</f>
        <v>0.0118085</v>
      </c>
      <c r="Q7" s="14">
        <f t="shared" si="3"/>
        <v>0.05172123</v>
      </c>
      <c r="R7" s="18">
        <f>100/1000000*2147</f>
        <v>0.2147</v>
      </c>
      <c r="S7" s="13">
        <f t="shared" si="4"/>
        <v>0.9403859999999999</v>
      </c>
      <c r="T7" s="4"/>
      <c r="U7" s="4"/>
      <c r="V7" s="4"/>
      <c r="W7" s="4"/>
    </row>
    <row r="8" spans="1:23" ht="60" customHeight="1">
      <c r="A8" s="4" t="s">
        <v>39</v>
      </c>
      <c r="B8" s="8" t="s">
        <v>40</v>
      </c>
      <c r="C8" s="6" t="s">
        <v>41</v>
      </c>
      <c r="D8" s="4" t="s">
        <v>26</v>
      </c>
      <c r="E8" s="4" t="s">
        <v>26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60" customHeight="1">
      <c r="A9" s="4" t="s">
        <v>42</v>
      </c>
      <c r="B9" s="8" t="s">
        <v>43</v>
      </c>
      <c r="C9" s="6" t="s">
        <v>25</v>
      </c>
      <c r="D9" s="4" t="s">
        <v>26</v>
      </c>
      <c r="E9" s="4" t="s">
        <v>26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60" customHeight="1">
      <c r="A10" s="4" t="s">
        <v>44</v>
      </c>
      <c r="B10" s="8" t="s">
        <v>45</v>
      </c>
      <c r="C10" s="6" t="s">
        <v>25</v>
      </c>
      <c r="D10" s="4" t="s">
        <v>26</v>
      </c>
      <c r="E10" s="4" t="s">
        <v>26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60" customHeight="1">
      <c r="A11" s="4" t="s">
        <v>46</v>
      </c>
      <c r="B11" s="7" t="s">
        <v>47</v>
      </c>
      <c r="C11" s="6" t="s">
        <v>25</v>
      </c>
      <c r="D11" s="4" t="s">
        <v>26</v>
      </c>
      <c r="E11" s="4" t="s">
        <v>26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60" customHeight="1">
      <c r="A12" s="4" t="s">
        <v>48</v>
      </c>
      <c r="B12" s="7" t="s">
        <v>49</v>
      </c>
      <c r="C12" s="6" t="s">
        <v>25</v>
      </c>
      <c r="D12" s="4" t="s">
        <v>26</v>
      </c>
      <c r="E12" s="4" t="s">
        <v>26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60" customHeight="1">
      <c r="A13" s="4" t="s">
        <v>50</v>
      </c>
      <c r="B13" s="5" t="s">
        <v>51</v>
      </c>
      <c r="C13" s="6" t="s">
        <v>31</v>
      </c>
      <c r="D13" s="4" t="s">
        <v>52</v>
      </c>
      <c r="E13" s="10">
        <v>44256</v>
      </c>
      <c r="F13" s="4"/>
      <c r="G13" s="4">
        <v>60</v>
      </c>
      <c r="H13" s="4"/>
      <c r="I13" s="4"/>
      <c r="J13" s="17">
        <v>3.6</v>
      </c>
      <c r="K13" s="15">
        <f aca="true" t="shared" si="5" ref="K13:K21">J13*8760/2000</f>
        <v>15.768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4"/>
    </row>
    <row r="14" spans="1:23" ht="60" customHeight="1">
      <c r="A14" s="4" t="s">
        <v>53</v>
      </c>
      <c r="B14" s="8" t="s">
        <v>54</v>
      </c>
      <c r="C14" s="6" t="s">
        <v>31</v>
      </c>
      <c r="D14" s="4" t="s">
        <v>55</v>
      </c>
      <c r="E14" s="10">
        <v>44621</v>
      </c>
      <c r="F14" s="4"/>
      <c r="G14" s="4">
        <v>9</v>
      </c>
      <c r="H14" s="4"/>
      <c r="I14" s="12" t="s">
        <v>33</v>
      </c>
      <c r="J14" s="16">
        <v>1.88</v>
      </c>
      <c r="K14" s="14">
        <f t="shared" si="5"/>
        <v>8.234399999999999</v>
      </c>
      <c r="L14" s="15">
        <f>0.6/1000000*7788</f>
        <v>0.0046727999999999995</v>
      </c>
      <c r="M14" s="15">
        <f aca="true" t="shared" si="6" ref="M14:M17">L14*8760/2000</f>
        <v>0.020466863999999998</v>
      </c>
      <c r="N14" s="14">
        <f>84/1000000*7788</f>
        <v>0.654192</v>
      </c>
      <c r="O14" s="15">
        <f aca="true" t="shared" si="7" ref="O14:O17">N14*8760/2000</f>
        <v>2.86536096</v>
      </c>
      <c r="P14" s="14">
        <f>5.5/1000000*7788</f>
        <v>0.042834</v>
      </c>
      <c r="Q14" s="14">
        <f aca="true" t="shared" si="8" ref="Q14:Q17">P14*8760/2000</f>
        <v>0.18761291999999996</v>
      </c>
      <c r="R14" s="13">
        <f>100/1000000*7788</f>
        <v>0.7788</v>
      </c>
      <c r="S14" s="14">
        <f aca="true" t="shared" si="9" ref="S14:S17">R14*8760/2000</f>
        <v>3.411144</v>
      </c>
      <c r="T14" s="4"/>
      <c r="U14" s="4"/>
      <c r="V14" s="4"/>
      <c r="W14" s="4"/>
    </row>
    <row r="15" spans="1:23" ht="60" customHeight="1">
      <c r="A15" s="4" t="s">
        <v>56</v>
      </c>
      <c r="B15" s="8" t="s">
        <v>57</v>
      </c>
      <c r="C15" s="6" t="s">
        <v>31</v>
      </c>
      <c r="D15" s="4" t="s">
        <v>58</v>
      </c>
      <c r="E15" s="10">
        <v>44256</v>
      </c>
      <c r="F15" s="11">
        <v>8200</v>
      </c>
      <c r="G15" s="4"/>
      <c r="H15" s="4">
        <v>9.7</v>
      </c>
      <c r="I15" s="12" t="s">
        <v>33</v>
      </c>
      <c r="J15" s="13">
        <f>0.268*(8200/8161)</f>
        <v>0.2692807254012989</v>
      </c>
      <c r="K15" s="14">
        <f t="shared" si="5"/>
        <v>1.179449577257689</v>
      </c>
      <c r="L15" s="14">
        <f>2.28*(8200/8161)</f>
        <v>2.2908957235632883</v>
      </c>
      <c r="M15" s="15">
        <f t="shared" si="6"/>
        <v>10.034123269207203</v>
      </c>
      <c r="N15" s="14">
        <f>3.89*(8200/8161)</f>
        <v>3.9085896336233303</v>
      </c>
      <c r="O15" s="15">
        <f t="shared" si="7"/>
        <v>17.119622595270187</v>
      </c>
      <c r="P15" s="15">
        <f>0.43*8200/2000</f>
        <v>1.763</v>
      </c>
      <c r="Q15" s="15">
        <f t="shared" si="8"/>
        <v>7.72194</v>
      </c>
      <c r="R15" s="14">
        <f>1.43*(8200/8161)</f>
        <v>1.4368337213576765</v>
      </c>
      <c r="S15" s="14">
        <f t="shared" si="9"/>
        <v>6.293331699546623</v>
      </c>
      <c r="T15" s="13">
        <f>0.2*(8200/8161)</f>
        <v>0.2009557652248499</v>
      </c>
      <c r="U15" s="13">
        <f>T15*8760/2000</f>
        <v>0.8801862516848425</v>
      </c>
      <c r="V15" s="13">
        <f>0.44*(8200/8161)</f>
        <v>0.44210268349466975</v>
      </c>
      <c r="W15" s="14">
        <f>V15*8760/2000</f>
        <v>1.9364097537066534</v>
      </c>
    </row>
    <row r="16" spans="1:23" ht="60" customHeight="1">
      <c r="A16" s="4" t="s">
        <v>59</v>
      </c>
      <c r="B16" s="8" t="s">
        <v>60</v>
      </c>
      <c r="C16" s="6" t="s">
        <v>38</v>
      </c>
      <c r="D16" s="4" t="s">
        <v>26</v>
      </c>
      <c r="E16" s="4" t="s">
        <v>26</v>
      </c>
      <c r="F16" s="4"/>
      <c r="G16" s="4"/>
      <c r="H16" s="6">
        <v>6.1</v>
      </c>
      <c r="I16" s="12" t="s">
        <v>33</v>
      </c>
      <c r="J16" s="16">
        <f aca="true" t="shared" si="10" ref="J16:J17">7.6/1000000*5980</f>
        <v>0.045447999999999995</v>
      </c>
      <c r="K16" s="14">
        <f t="shared" si="5"/>
        <v>0.19906223999999997</v>
      </c>
      <c r="L16" s="17">
        <f aca="true" t="shared" si="11" ref="L16:L17">0.6/1000000*5980</f>
        <v>0.003588</v>
      </c>
      <c r="M16" s="15">
        <f t="shared" si="6"/>
        <v>0.01571544</v>
      </c>
      <c r="N16" s="16">
        <f aca="true" t="shared" si="12" ref="N16:N17">84/1000000*5980</f>
        <v>0.50232</v>
      </c>
      <c r="O16" s="15">
        <f t="shared" si="7"/>
        <v>2.2001616</v>
      </c>
      <c r="P16" s="16">
        <f aca="true" t="shared" si="13" ref="P16:P17">5.5/1000000*5980</f>
        <v>0.03289</v>
      </c>
      <c r="Q16" s="14">
        <f t="shared" si="8"/>
        <v>0.1440582</v>
      </c>
      <c r="R16" s="18">
        <f aca="true" t="shared" si="14" ref="R16:R17">100/1000000*5980</f>
        <v>0.598</v>
      </c>
      <c r="S16" s="14">
        <f t="shared" si="9"/>
        <v>2.6192399999999996</v>
      </c>
      <c r="T16" s="4"/>
      <c r="U16" s="4"/>
      <c r="V16" s="4"/>
      <c r="W16" s="4"/>
    </row>
    <row r="17" spans="1:23" ht="60" customHeight="1">
      <c r="A17" s="4" t="s">
        <v>61</v>
      </c>
      <c r="B17" s="8" t="s">
        <v>62</v>
      </c>
      <c r="C17" s="6" t="s">
        <v>38</v>
      </c>
      <c r="D17" s="4" t="s">
        <v>26</v>
      </c>
      <c r="E17" s="4" t="s">
        <v>26</v>
      </c>
      <c r="F17" s="4"/>
      <c r="G17" s="4"/>
      <c r="H17" s="6">
        <v>6.1</v>
      </c>
      <c r="I17" s="12" t="s">
        <v>33</v>
      </c>
      <c r="J17" s="16">
        <f t="shared" si="10"/>
        <v>0.045447999999999995</v>
      </c>
      <c r="K17" s="14">
        <f t="shared" si="5"/>
        <v>0.19906223999999997</v>
      </c>
      <c r="L17" s="17">
        <f t="shared" si="11"/>
        <v>0.003588</v>
      </c>
      <c r="M17" s="15">
        <f t="shared" si="6"/>
        <v>0.01571544</v>
      </c>
      <c r="N17" s="16">
        <f t="shared" si="12"/>
        <v>0.50232</v>
      </c>
      <c r="O17" s="15">
        <f t="shared" si="7"/>
        <v>2.2001616</v>
      </c>
      <c r="P17" s="16">
        <f t="shared" si="13"/>
        <v>0.03289</v>
      </c>
      <c r="Q17" s="14">
        <f t="shared" si="8"/>
        <v>0.1440582</v>
      </c>
      <c r="R17" s="18">
        <f t="shared" si="14"/>
        <v>0.598</v>
      </c>
      <c r="S17" s="14">
        <f t="shared" si="9"/>
        <v>2.6192399999999996</v>
      </c>
      <c r="T17" s="4"/>
      <c r="U17" s="4"/>
      <c r="V17" s="4"/>
      <c r="W17" s="4"/>
    </row>
    <row r="18" spans="1:23" ht="60" customHeight="1">
      <c r="A18" s="4" t="s">
        <v>63</v>
      </c>
      <c r="B18" s="5" t="s">
        <v>64</v>
      </c>
      <c r="C18" s="6" t="s">
        <v>31</v>
      </c>
      <c r="D18" s="4" t="s">
        <v>65</v>
      </c>
      <c r="E18" s="10">
        <v>44256</v>
      </c>
      <c r="F18" s="4"/>
      <c r="G18" s="4"/>
      <c r="H18" s="4"/>
      <c r="I18" s="4"/>
      <c r="J18" s="6">
        <v>1.5</v>
      </c>
      <c r="K18" s="15">
        <f t="shared" si="5"/>
        <v>6.57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60" customHeight="1">
      <c r="A19" s="4" t="s">
        <v>66</v>
      </c>
      <c r="B19" s="8" t="s">
        <v>67</v>
      </c>
      <c r="C19" s="6" t="s">
        <v>38</v>
      </c>
      <c r="D19" s="4" t="s">
        <v>26</v>
      </c>
      <c r="E19" s="4" t="s">
        <v>26</v>
      </c>
      <c r="F19" s="4"/>
      <c r="G19" s="4"/>
      <c r="H19" s="6">
        <v>3.93</v>
      </c>
      <c r="I19" s="12" t="s">
        <v>33</v>
      </c>
      <c r="J19" s="16">
        <f aca="true" t="shared" si="15" ref="J19:J21">7.6/1000000*3853</f>
        <v>0.029282799999999998</v>
      </c>
      <c r="K19" s="14">
        <f t="shared" si="5"/>
        <v>0.128258664</v>
      </c>
      <c r="L19" s="17">
        <f aca="true" t="shared" si="16" ref="L19:L21">0.6/1000000*3853</f>
        <v>0.0023117999999999997</v>
      </c>
      <c r="M19" s="15">
        <f aca="true" t="shared" si="17" ref="M19:M21">L19*8760/2000</f>
        <v>0.010125683999999998</v>
      </c>
      <c r="N19" s="16">
        <f aca="true" t="shared" si="18" ref="N19:N21">84/1000000*3853</f>
        <v>0.323652</v>
      </c>
      <c r="O19" s="15">
        <f aca="true" t="shared" si="19" ref="O19:O21">N19*8760/2000</f>
        <v>1.41759576</v>
      </c>
      <c r="P19" s="16">
        <f aca="true" t="shared" si="20" ref="P19:P21">5.5/1000000*3853</f>
        <v>0.0211915</v>
      </c>
      <c r="Q19" s="14">
        <f aca="true" t="shared" si="21" ref="Q19:Q21">P19*8760/2000</f>
        <v>0.09281877</v>
      </c>
      <c r="R19" s="18">
        <f aca="true" t="shared" si="22" ref="R19:R21">100/1000000*3853</f>
        <v>0.38530000000000003</v>
      </c>
      <c r="S19" s="14">
        <f aca="true" t="shared" si="23" ref="S19:S21">R19*8760/2000</f>
        <v>1.687614</v>
      </c>
      <c r="T19" s="4"/>
      <c r="U19" s="4"/>
      <c r="V19" s="4"/>
      <c r="W19" s="4"/>
    </row>
    <row r="20" spans="1:23" ht="60" customHeight="1">
      <c r="A20" s="4" t="s">
        <v>68</v>
      </c>
      <c r="B20" s="8" t="s">
        <v>69</v>
      </c>
      <c r="C20" s="6" t="s">
        <v>38</v>
      </c>
      <c r="D20" s="4" t="s">
        <v>26</v>
      </c>
      <c r="E20" s="4" t="s">
        <v>26</v>
      </c>
      <c r="F20" s="4"/>
      <c r="G20" s="4"/>
      <c r="H20" s="6">
        <v>3.93</v>
      </c>
      <c r="I20" s="12" t="s">
        <v>33</v>
      </c>
      <c r="J20" s="16">
        <f t="shared" si="15"/>
        <v>0.029282799999999998</v>
      </c>
      <c r="K20" s="14">
        <f t="shared" si="5"/>
        <v>0.128258664</v>
      </c>
      <c r="L20" s="17">
        <f t="shared" si="16"/>
        <v>0.0023117999999999997</v>
      </c>
      <c r="M20" s="15">
        <f t="shared" si="17"/>
        <v>0.010125683999999998</v>
      </c>
      <c r="N20" s="16">
        <f t="shared" si="18"/>
        <v>0.323652</v>
      </c>
      <c r="O20" s="15">
        <f t="shared" si="19"/>
        <v>1.41759576</v>
      </c>
      <c r="P20" s="16">
        <f t="shared" si="20"/>
        <v>0.0211915</v>
      </c>
      <c r="Q20" s="14">
        <f t="shared" si="21"/>
        <v>0.09281877</v>
      </c>
      <c r="R20" s="18">
        <f t="shared" si="22"/>
        <v>0.38530000000000003</v>
      </c>
      <c r="S20" s="14">
        <f t="shared" si="23"/>
        <v>1.687614</v>
      </c>
      <c r="T20" s="4"/>
      <c r="U20" s="4"/>
      <c r="V20" s="4"/>
      <c r="W20" s="4"/>
    </row>
    <row r="21" spans="1:23" ht="60" customHeight="1">
      <c r="A21" s="4" t="s">
        <v>70</v>
      </c>
      <c r="B21" s="8" t="s">
        <v>71</v>
      </c>
      <c r="C21" s="6" t="s">
        <v>38</v>
      </c>
      <c r="D21" s="4" t="s">
        <v>26</v>
      </c>
      <c r="E21" s="4" t="s">
        <v>26</v>
      </c>
      <c r="F21" s="4"/>
      <c r="G21" s="4"/>
      <c r="H21" s="6">
        <v>3.93</v>
      </c>
      <c r="I21" s="12" t="s">
        <v>33</v>
      </c>
      <c r="J21" s="16">
        <f t="shared" si="15"/>
        <v>0.029282799999999998</v>
      </c>
      <c r="K21" s="14">
        <f t="shared" si="5"/>
        <v>0.128258664</v>
      </c>
      <c r="L21" s="17">
        <f t="shared" si="16"/>
        <v>0.0023117999999999997</v>
      </c>
      <c r="M21" s="15">
        <f t="shared" si="17"/>
        <v>0.010125683999999998</v>
      </c>
      <c r="N21" s="16">
        <f t="shared" si="18"/>
        <v>0.323652</v>
      </c>
      <c r="O21" s="15">
        <f t="shared" si="19"/>
        <v>1.41759576</v>
      </c>
      <c r="P21" s="16">
        <f t="shared" si="20"/>
        <v>0.0211915</v>
      </c>
      <c r="Q21" s="14">
        <f t="shared" si="21"/>
        <v>0.09281877</v>
      </c>
      <c r="R21" s="18">
        <f t="shared" si="22"/>
        <v>0.38530000000000003</v>
      </c>
      <c r="S21" s="14">
        <f t="shared" si="23"/>
        <v>1.687614</v>
      </c>
      <c r="T21" s="4"/>
      <c r="U21" s="4"/>
      <c r="V21" s="4"/>
      <c r="W21" s="4"/>
    </row>
    <row r="22" spans="1:23" ht="60" customHeight="1">
      <c r="A22" s="4" t="s">
        <v>72</v>
      </c>
      <c r="B22" s="8" t="s">
        <v>73</v>
      </c>
      <c r="C22" s="6" t="s">
        <v>25</v>
      </c>
      <c r="D22" s="4" t="s">
        <v>74</v>
      </c>
      <c r="E22" s="10">
        <v>43525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60" customHeight="1">
      <c r="A23" s="4" t="s">
        <v>75</v>
      </c>
      <c r="B23" s="8" t="s">
        <v>76</v>
      </c>
      <c r="C23" s="6" t="s">
        <v>31</v>
      </c>
      <c r="D23" s="4" t="s">
        <v>77</v>
      </c>
      <c r="E23" s="10">
        <v>44256</v>
      </c>
      <c r="F23" s="4">
        <v>850</v>
      </c>
      <c r="G23" s="4"/>
      <c r="H23" s="4">
        <v>4</v>
      </c>
      <c r="I23" s="12" t="s">
        <v>33</v>
      </c>
      <c r="J23" s="13">
        <f>0.173*850/4328.7</f>
        <v>0.03397093815695243</v>
      </c>
      <c r="K23" s="13">
        <f aca="true" t="shared" si="24" ref="K23:K30">J23*8760/2000</f>
        <v>0.14879270912745166</v>
      </c>
      <c r="L23" s="13">
        <f>1.31*850/4328.7</f>
        <v>0.25723658373183633</v>
      </c>
      <c r="M23" s="14">
        <f aca="true" t="shared" si="25" ref="M23:M25">L23*8760/2000</f>
        <v>1.1266962367454432</v>
      </c>
      <c r="N23" s="13">
        <f>2.62*850/4328.7</f>
        <v>0.5144731674636727</v>
      </c>
      <c r="O23" s="14">
        <f aca="true" t="shared" si="26" ref="O23:O25">N23*8760/2000</f>
        <v>2.2533924734908863</v>
      </c>
      <c r="P23" s="14">
        <f>0.43*850/2000</f>
        <v>0.18275</v>
      </c>
      <c r="Q23" s="14">
        <f aca="true" t="shared" si="27" ref="Q23:Q25">P23*8760/2000</f>
        <v>0.800445</v>
      </c>
      <c r="R23" s="13">
        <f>1.21*850/4328.7</f>
        <v>0.2376002032942916</v>
      </c>
      <c r="S23" s="14">
        <f aca="true" t="shared" si="28" ref="S23:S25">R23*8760/2000</f>
        <v>1.0406888904289973</v>
      </c>
      <c r="T23" s="13">
        <f>0.068*850/4328.7</f>
        <v>0.013352738697530437</v>
      </c>
      <c r="U23" s="13">
        <f aca="true" t="shared" si="29" ref="U23:U24">T23*8760/2000</f>
        <v>0.058484995495183316</v>
      </c>
      <c r="V23" s="14">
        <f>0.2*850/4328.7</f>
        <v>0.03927276087508952</v>
      </c>
      <c r="W23" s="14">
        <f aca="true" t="shared" si="30" ref="W23:W24">V23*8760/2000</f>
        <v>0.1720146926328921</v>
      </c>
    </row>
    <row r="24" spans="1:23" ht="60" customHeight="1">
      <c r="A24" s="4" t="s">
        <v>78</v>
      </c>
      <c r="B24" s="8" t="s">
        <v>79</v>
      </c>
      <c r="C24" s="6" t="s">
        <v>31</v>
      </c>
      <c r="D24" s="4" t="s">
        <v>80</v>
      </c>
      <c r="E24" s="10">
        <v>44256</v>
      </c>
      <c r="F24" s="4">
        <v>2500</v>
      </c>
      <c r="G24" s="4"/>
      <c r="H24" s="4">
        <v>2.72</v>
      </c>
      <c r="I24" s="12" t="s">
        <v>33</v>
      </c>
      <c r="J24" s="13">
        <f>0.173*2500/4328.7</f>
        <v>0.09991452399103656</v>
      </c>
      <c r="K24" s="13">
        <f t="shared" si="24"/>
        <v>0.43762561508074016</v>
      </c>
      <c r="L24" s="13">
        <f>1.31*2500/4328.7</f>
        <v>0.7565781874465776</v>
      </c>
      <c r="M24" s="14">
        <f t="shared" si="25"/>
        <v>3.31381246101601</v>
      </c>
      <c r="N24" s="14">
        <f>2.62*2500/4328.7</f>
        <v>1.5131563748931551</v>
      </c>
      <c r="O24" s="14">
        <f t="shared" si="26"/>
        <v>6.62762492203202</v>
      </c>
      <c r="P24" s="14">
        <f>0.43*2500/2000</f>
        <v>0.5375</v>
      </c>
      <c r="Q24" s="15">
        <f t="shared" si="27"/>
        <v>2.35425</v>
      </c>
      <c r="R24" s="13">
        <f>1.21*2500/4328.7</f>
        <v>0.6988241273361517</v>
      </c>
      <c r="S24" s="14">
        <f t="shared" si="28"/>
        <v>3.060849677732344</v>
      </c>
      <c r="T24" s="13">
        <f>0.068*2500/4328.7</f>
        <v>0.03927276087508952</v>
      </c>
      <c r="U24" s="13">
        <f t="shared" si="29"/>
        <v>0.1720146926328921</v>
      </c>
      <c r="V24" s="14">
        <f>0.2*2500/4328.7</f>
        <v>0.11550812022085154</v>
      </c>
      <c r="W24" s="14">
        <f t="shared" si="30"/>
        <v>0.5059255665673297</v>
      </c>
    </row>
    <row r="25" spans="1:23" ht="60" customHeight="1">
      <c r="A25" s="4" t="s">
        <v>81</v>
      </c>
      <c r="B25" s="8" t="s">
        <v>82</v>
      </c>
      <c r="C25" s="6" t="s">
        <v>38</v>
      </c>
      <c r="D25" s="4" t="s">
        <v>26</v>
      </c>
      <c r="E25" s="4" t="s">
        <v>26</v>
      </c>
      <c r="F25" s="4"/>
      <c r="G25" s="4"/>
      <c r="H25" s="6">
        <v>4</v>
      </c>
      <c r="I25" s="12" t="s">
        <v>33</v>
      </c>
      <c r="J25" s="16">
        <f>7.6/1000000*3922</f>
        <v>0.029807199999999996</v>
      </c>
      <c r="K25" s="14">
        <f t="shared" si="24"/>
        <v>0.130555536</v>
      </c>
      <c r="L25" s="17">
        <f>0.6/1000000*3922</f>
        <v>0.0023531999999999997</v>
      </c>
      <c r="M25" s="15">
        <f t="shared" si="25"/>
        <v>0.010307015999999999</v>
      </c>
      <c r="N25" s="16">
        <f>84/1000000*3922</f>
        <v>0.32944799999999996</v>
      </c>
      <c r="O25" s="15">
        <f t="shared" si="26"/>
        <v>1.4429822399999999</v>
      </c>
      <c r="P25" s="16">
        <f>5.5/1000000*3922</f>
        <v>0.021571</v>
      </c>
      <c r="Q25" s="14">
        <f t="shared" si="27"/>
        <v>0.09448098</v>
      </c>
      <c r="R25" s="18">
        <f>100/1000000*3922</f>
        <v>0.3922</v>
      </c>
      <c r="S25" s="14">
        <f t="shared" si="28"/>
        <v>1.717836</v>
      </c>
      <c r="T25" s="4"/>
      <c r="U25" s="4"/>
      <c r="V25" s="4"/>
      <c r="W25" s="4"/>
    </row>
    <row r="26" spans="1:23" ht="60" customHeight="1">
      <c r="A26" s="4" t="s">
        <v>83</v>
      </c>
      <c r="B26" s="5" t="s">
        <v>84</v>
      </c>
      <c r="C26" s="6" t="s">
        <v>31</v>
      </c>
      <c r="D26" s="4" t="s">
        <v>85</v>
      </c>
      <c r="E26" s="10">
        <v>44256</v>
      </c>
      <c r="F26" s="4" t="s">
        <v>86</v>
      </c>
      <c r="G26" s="4"/>
      <c r="H26" s="4"/>
      <c r="I26" s="4"/>
      <c r="J26" s="6">
        <v>0.5</v>
      </c>
      <c r="K26" s="15">
        <f t="shared" si="24"/>
        <v>2.19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60" customHeight="1">
      <c r="A27" s="4" t="s">
        <v>87</v>
      </c>
      <c r="B27" s="8" t="s">
        <v>88</v>
      </c>
      <c r="C27" s="6" t="s">
        <v>38</v>
      </c>
      <c r="D27" s="4" t="s">
        <v>26</v>
      </c>
      <c r="E27" s="4" t="s">
        <v>26</v>
      </c>
      <c r="F27" s="4"/>
      <c r="G27" s="4"/>
      <c r="H27" s="6">
        <v>2</v>
      </c>
      <c r="I27" s="12" t="s">
        <v>33</v>
      </c>
      <c r="J27" s="16">
        <f>7.6/1000000*1961</f>
        <v>0.014903599999999998</v>
      </c>
      <c r="K27" s="14">
        <f t="shared" si="24"/>
        <v>0.065277768</v>
      </c>
      <c r="L27" s="17">
        <f>0.6/1000000*1961</f>
        <v>0.0011765999999999999</v>
      </c>
      <c r="M27" s="15">
        <f>L27*8760/2000</f>
        <v>0.005153507999999999</v>
      </c>
      <c r="N27" s="16">
        <f>84/1000000*1961</f>
        <v>0.16472399999999998</v>
      </c>
      <c r="O27" s="14">
        <f>N27*8760/2000</f>
        <v>0.7214911199999999</v>
      </c>
      <c r="P27" s="16">
        <f>5.5/1000000*1961</f>
        <v>0.0107855</v>
      </c>
      <c r="Q27" s="14">
        <f>P27*8760/2000</f>
        <v>0.04724049</v>
      </c>
      <c r="R27" s="18">
        <f>100/1000000*1961</f>
        <v>0.1961</v>
      </c>
      <c r="S27" s="13">
        <f>R27*8760/2000</f>
        <v>0.858918</v>
      </c>
      <c r="T27" s="4"/>
      <c r="U27" s="4"/>
      <c r="V27" s="4"/>
      <c r="W27" s="4"/>
    </row>
    <row r="28" spans="1:23" ht="60" customHeight="1">
      <c r="A28" s="4" t="s">
        <v>89</v>
      </c>
      <c r="B28" s="5" t="s">
        <v>90</v>
      </c>
      <c r="C28" s="6" t="s">
        <v>31</v>
      </c>
      <c r="D28" s="4" t="s">
        <v>91</v>
      </c>
      <c r="E28" s="10">
        <v>44256</v>
      </c>
      <c r="F28" s="4" t="s">
        <v>92</v>
      </c>
      <c r="G28" s="4"/>
      <c r="H28" s="4"/>
      <c r="I28" s="4"/>
      <c r="J28" s="6">
        <v>0.46</v>
      </c>
      <c r="K28" s="15">
        <f t="shared" si="24"/>
        <v>2.0148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80.25" customHeight="1">
      <c r="A29" s="4" t="s">
        <v>93</v>
      </c>
      <c r="B29" s="5" t="s">
        <v>94</v>
      </c>
      <c r="C29" s="6" t="s">
        <v>31</v>
      </c>
      <c r="D29" s="4" t="s">
        <v>95</v>
      </c>
      <c r="E29" s="10">
        <v>44256</v>
      </c>
      <c r="F29" s="4" t="s">
        <v>96</v>
      </c>
      <c r="G29" s="4"/>
      <c r="H29" s="4"/>
      <c r="I29" s="4"/>
      <c r="J29" s="6">
        <v>0.063</v>
      </c>
      <c r="K29" s="13">
        <f t="shared" si="24"/>
        <v>0.27594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60" customHeight="1">
      <c r="A30" s="4" t="s">
        <v>97</v>
      </c>
      <c r="B30" s="5" t="s">
        <v>98</v>
      </c>
      <c r="C30" s="6" t="s">
        <v>31</v>
      </c>
      <c r="D30" s="4" t="s">
        <v>99</v>
      </c>
      <c r="E30" s="10">
        <v>44256</v>
      </c>
      <c r="F30" s="11">
        <v>15400</v>
      </c>
      <c r="G30" s="4"/>
      <c r="H30" s="4"/>
      <c r="I30" s="4"/>
      <c r="J30" s="6">
        <v>0.063</v>
      </c>
      <c r="K30" s="13">
        <f t="shared" si="24"/>
        <v>0.27594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60" customHeight="1">
      <c r="A31" s="4" t="s">
        <v>100</v>
      </c>
      <c r="B31" s="8" t="s">
        <v>101</v>
      </c>
      <c r="C31" s="6" t="s">
        <v>25</v>
      </c>
      <c r="D31" s="4" t="s">
        <v>26</v>
      </c>
      <c r="E31" s="4" t="s">
        <v>26</v>
      </c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60" customHeight="1">
      <c r="A32" s="4" t="s">
        <v>102</v>
      </c>
      <c r="B32" s="7" t="s">
        <v>103</v>
      </c>
      <c r="C32" s="6" t="s">
        <v>31</v>
      </c>
      <c r="D32" s="4" t="s">
        <v>104</v>
      </c>
      <c r="E32" s="10">
        <v>45352</v>
      </c>
      <c r="F32" s="11"/>
      <c r="G32" s="4"/>
      <c r="H32" s="6">
        <v>2.7</v>
      </c>
      <c r="I32" s="4" t="s">
        <v>105</v>
      </c>
      <c r="J32" s="14">
        <f>0.0022*380</f>
        <v>0.8360000000000001</v>
      </c>
      <c r="K32" s="14">
        <f aca="true" t="shared" si="31" ref="K32:K33">J32*500/2000</f>
        <v>0.20900000000000002</v>
      </c>
      <c r="L32" s="14">
        <f>0.00205*380</f>
        <v>0.779</v>
      </c>
      <c r="M32" s="14">
        <f aca="true" t="shared" si="32" ref="M32:M33">L32*500/2000</f>
        <v>0.19475</v>
      </c>
      <c r="N32" s="15">
        <f>0.00668*380</f>
        <v>2.5384</v>
      </c>
      <c r="O32" s="14">
        <f aca="true" t="shared" si="33" ref="O32:O33">N32*500/2000</f>
        <v>0.6346</v>
      </c>
      <c r="P32" s="14">
        <f>0.00247*380</f>
        <v>0.9386</v>
      </c>
      <c r="Q32" s="14">
        <f aca="true" t="shared" si="34" ref="Q32:Q33">P32*500/2000</f>
        <v>0.23465</v>
      </c>
      <c r="R32" s="17">
        <f>0.031*380</f>
        <v>11.78</v>
      </c>
      <c r="S32" s="15">
        <f aca="true" t="shared" si="35" ref="S32:S33">R32*500/2000</f>
        <v>2.945</v>
      </c>
      <c r="T32" s="4"/>
      <c r="U32" s="4"/>
      <c r="V32" s="4"/>
      <c r="W32" s="4"/>
    </row>
    <row r="33" spans="1:23" ht="60" customHeight="1">
      <c r="A33" s="4" t="s">
        <v>106</v>
      </c>
      <c r="B33" s="7" t="s">
        <v>107</v>
      </c>
      <c r="C33" s="6" t="s">
        <v>31</v>
      </c>
      <c r="D33" s="4" t="s">
        <v>108</v>
      </c>
      <c r="E33" s="10">
        <v>45352</v>
      </c>
      <c r="F33" s="11"/>
      <c r="G33" s="4"/>
      <c r="H33" s="6">
        <v>2.5</v>
      </c>
      <c r="I33" s="4" t="s">
        <v>105</v>
      </c>
      <c r="J33" s="14">
        <f>0.0022*355</f>
        <v>0.781</v>
      </c>
      <c r="K33" s="14">
        <f t="shared" si="31"/>
        <v>0.19525</v>
      </c>
      <c r="L33" s="14">
        <f>0.00205*355</f>
        <v>0.72775</v>
      </c>
      <c r="M33" s="14">
        <f t="shared" si="32"/>
        <v>0.1819375</v>
      </c>
      <c r="N33" s="15">
        <f>0.00668*355</f>
        <v>2.3714</v>
      </c>
      <c r="O33" s="14">
        <f t="shared" si="33"/>
        <v>0.59285</v>
      </c>
      <c r="P33" s="14">
        <f>0.00247*355</f>
        <v>0.87685</v>
      </c>
      <c r="Q33" s="14">
        <f t="shared" si="34"/>
        <v>0.2192125</v>
      </c>
      <c r="R33" s="17">
        <f>0.031*355</f>
        <v>11.005</v>
      </c>
      <c r="S33" s="15">
        <f t="shared" si="35"/>
        <v>2.75125</v>
      </c>
      <c r="T33" s="4"/>
      <c r="U33" s="4"/>
      <c r="V33" s="4"/>
      <c r="W33" s="4"/>
    </row>
    <row r="34" spans="1:23" ht="60" customHeight="1">
      <c r="A34" s="6" t="s">
        <v>109</v>
      </c>
      <c r="B34" s="19" t="s">
        <v>110</v>
      </c>
      <c r="C34" s="6" t="s">
        <v>38</v>
      </c>
      <c r="D34" s="4"/>
      <c r="E34" s="10"/>
      <c r="F34" s="11"/>
      <c r="G34" s="4"/>
      <c r="H34" s="6"/>
      <c r="I34" s="4"/>
      <c r="J34" s="13">
        <f>13863*0.002*60/7000</f>
        <v>0.23765142857142857</v>
      </c>
      <c r="K34" s="14">
        <f aca="true" t="shared" si="36" ref="K34:K45">J34*8760/2000</f>
        <v>1.0409132571428572</v>
      </c>
      <c r="L34" s="20"/>
      <c r="M34" s="20"/>
      <c r="N34" s="21"/>
      <c r="O34" s="20"/>
      <c r="P34" s="20"/>
      <c r="Q34" s="20"/>
      <c r="R34" s="17"/>
      <c r="S34" s="21"/>
      <c r="T34" s="4"/>
      <c r="U34" s="4"/>
      <c r="V34" s="4"/>
      <c r="W34" s="4"/>
    </row>
    <row r="35" spans="1:23" ht="60" customHeight="1">
      <c r="A35" s="6" t="s">
        <v>109</v>
      </c>
      <c r="B35" s="22" t="s">
        <v>111</v>
      </c>
      <c r="C35" s="6" t="s">
        <v>38</v>
      </c>
      <c r="D35" s="4"/>
      <c r="E35" s="10"/>
      <c r="F35" s="11"/>
      <c r="G35" s="4"/>
      <c r="H35" s="6"/>
      <c r="I35" s="4"/>
      <c r="J35" s="13">
        <f>1400*0.002*60/7000*0.5</f>
        <v>0.012000000000000002</v>
      </c>
      <c r="K35" s="13">
        <f t="shared" si="36"/>
        <v>0.05256000000000001</v>
      </c>
      <c r="L35" s="20"/>
      <c r="M35" s="20"/>
      <c r="N35" s="21"/>
      <c r="O35" s="20"/>
      <c r="P35" s="20"/>
      <c r="Q35" s="20"/>
      <c r="R35" s="17"/>
      <c r="S35" s="21"/>
      <c r="T35" s="4"/>
      <c r="U35" s="4"/>
      <c r="V35" s="4"/>
      <c r="W35" s="4"/>
    </row>
    <row r="36" spans="1:23" ht="60" customHeight="1">
      <c r="A36" s="6" t="s">
        <v>109</v>
      </c>
      <c r="B36" s="6" t="s">
        <v>112</v>
      </c>
      <c r="C36" s="6" t="s">
        <v>38</v>
      </c>
      <c r="D36" s="4"/>
      <c r="E36" s="10"/>
      <c r="F36" s="11"/>
      <c r="G36" s="4"/>
      <c r="H36" s="6"/>
      <c r="I36" s="4"/>
      <c r="J36" s="13">
        <f>1020*0.0000068*60/7000</f>
        <v>5.945142857142857E-05</v>
      </c>
      <c r="K36" s="14">
        <f t="shared" si="36"/>
        <v>0.0002603972571428572</v>
      </c>
      <c r="L36" s="20"/>
      <c r="M36" s="20"/>
      <c r="N36" s="21"/>
      <c r="O36" s="20"/>
      <c r="P36" s="20"/>
      <c r="Q36" s="20"/>
      <c r="R36" s="17"/>
      <c r="S36" s="21"/>
      <c r="T36" s="4"/>
      <c r="U36" s="4"/>
      <c r="V36" s="4"/>
      <c r="W36" s="4"/>
    </row>
    <row r="37" spans="1:23" ht="60" customHeight="1">
      <c r="A37" s="6" t="s">
        <v>109</v>
      </c>
      <c r="B37" s="6" t="s">
        <v>113</v>
      </c>
      <c r="C37" s="6" t="s">
        <v>38</v>
      </c>
      <c r="D37" s="4"/>
      <c r="E37" s="10"/>
      <c r="F37" s="11"/>
      <c r="G37" s="4"/>
      <c r="H37" s="6"/>
      <c r="I37" s="4"/>
      <c r="J37" s="13">
        <f>10319*0.003*60/7000</f>
        <v>0.2653457142857143</v>
      </c>
      <c r="K37" s="14">
        <f t="shared" si="36"/>
        <v>1.1622142285714285</v>
      </c>
      <c r="L37" s="20"/>
      <c r="M37" s="20"/>
      <c r="N37" s="21"/>
      <c r="O37" s="20"/>
      <c r="P37" s="20"/>
      <c r="Q37" s="20"/>
      <c r="R37" s="17"/>
      <c r="S37" s="21"/>
      <c r="T37" s="4"/>
      <c r="U37" s="4"/>
      <c r="V37" s="4"/>
      <c r="W37" s="4"/>
    </row>
    <row r="38" spans="1:23" ht="60" customHeight="1">
      <c r="A38" s="6" t="s">
        <v>109</v>
      </c>
      <c r="B38" s="6" t="s">
        <v>114</v>
      </c>
      <c r="C38" s="6" t="s">
        <v>38</v>
      </c>
      <c r="D38" s="4"/>
      <c r="E38" s="10"/>
      <c r="F38" s="11"/>
      <c r="G38" s="4"/>
      <c r="H38" s="6"/>
      <c r="I38" s="4"/>
      <c r="J38" s="13">
        <f>24540*0.002*60/7000</f>
        <v>0.4206857142857143</v>
      </c>
      <c r="K38" s="14">
        <f t="shared" si="36"/>
        <v>1.8426034285714286</v>
      </c>
      <c r="L38" s="20"/>
      <c r="M38" s="20"/>
      <c r="N38" s="21"/>
      <c r="O38" s="20"/>
      <c r="P38" s="20"/>
      <c r="Q38" s="20"/>
      <c r="R38" s="17"/>
      <c r="S38" s="21"/>
      <c r="T38" s="4"/>
      <c r="U38" s="4"/>
      <c r="V38" s="4"/>
      <c r="W38" s="4"/>
    </row>
    <row r="39" spans="1:23" ht="60" customHeight="1">
      <c r="A39" s="6" t="s">
        <v>109</v>
      </c>
      <c r="B39" s="6" t="s">
        <v>115</v>
      </c>
      <c r="C39" s="6" t="s">
        <v>38</v>
      </c>
      <c r="D39" s="4"/>
      <c r="E39" s="10"/>
      <c r="F39" s="11"/>
      <c r="G39" s="4"/>
      <c r="H39" s="6"/>
      <c r="I39" s="4"/>
      <c r="J39" s="14">
        <f>790*0.01*60/7000*0.5</f>
        <v>0.033857142857142856</v>
      </c>
      <c r="K39" s="14">
        <f t="shared" si="36"/>
        <v>0.1482942857142857</v>
      </c>
      <c r="L39" s="20"/>
      <c r="M39" s="20"/>
      <c r="N39" s="21"/>
      <c r="O39" s="20"/>
      <c r="P39" s="20"/>
      <c r="Q39" s="20"/>
      <c r="R39" s="17"/>
      <c r="S39" s="21"/>
      <c r="T39" s="4"/>
      <c r="U39" s="4"/>
      <c r="V39" s="4"/>
      <c r="W39" s="4"/>
    </row>
    <row r="40" spans="1:23" ht="60" customHeight="1">
      <c r="A40" s="6" t="s">
        <v>109</v>
      </c>
      <c r="B40" s="6" t="s">
        <v>116</v>
      </c>
      <c r="C40" s="6" t="s">
        <v>38</v>
      </c>
      <c r="D40" s="4"/>
      <c r="E40" s="10"/>
      <c r="F40" s="11"/>
      <c r="G40" s="4"/>
      <c r="H40" s="6"/>
      <c r="I40" s="4"/>
      <c r="J40" s="13">
        <f>15000*0.002*60/7000</f>
        <v>0.2571428571428571</v>
      </c>
      <c r="K40" s="14">
        <f t="shared" si="36"/>
        <v>1.1262857142857141</v>
      </c>
      <c r="L40" s="20"/>
      <c r="M40" s="20"/>
      <c r="N40" s="21"/>
      <c r="O40" s="20"/>
      <c r="P40" s="20"/>
      <c r="Q40" s="20"/>
      <c r="R40" s="17"/>
      <c r="S40" s="21"/>
      <c r="T40" s="4"/>
      <c r="U40" s="4"/>
      <c r="V40" s="4"/>
      <c r="W40" s="4"/>
    </row>
    <row r="41" spans="1:23" ht="60" customHeight="1">
      <c r="A41" s="6" t="s">
        <v>109</v>
      </c>
      <c r="B41" s="6" t="s">
        <v>117</v>
      </c>
      <c r="C41" s="6" t="s">
        <v>38</v>
      </c>
      <c r="D41" s="4"/>
      <c r="E41" s="10"/>
      <c r="F41" s="11"/>
      <c r="G41" s="4"/>
      <c r="H41" s="6"/>
      <c r="I41" s="4"/>
      <c r="J41" s="14">
        <f>532*0.02*60/7000*0.5</f>
        <v>0.04560000000000001</v>
      </c>
      <c r="K41" s="14">
        <f t="shared" si="36"/>
        <v>0.19972800000000004</v>
      </c>
      <c r="L41" s="20"/>
      <c r="M41" s="20"/>
      <c r="N41" s="21"/>
      <c r="O41" s="20"/>
      <c r="P41" s="20"/>
      <c r="Q41" s="20"/>
      <c r="R41" s="17"/>
      <c r="S41" s="21"/>
      <c r="T41" s="4"/>
      <c r="U41" s="4"/>
      <c r="V41" s="4"/>
      <c r="W41" s="4"/>
    </row>
    <row r="42" spans="1:23" ht="60" customHeight="1">
      <c r="A42" s="6" t="s">
        <v>109</v>
      </c>
      <c r="B42" s="6" t="s">
        <v>118</v>
      </c>
      <c r="C42" s="6" t="s">
        <v>38</v>
      </c>
      <c r="D42" s="4"/>
      <c r="E42" s="10"/>
      <c r="F42" s="11"/>
      <c r="G42" s="4"/>
      <c r="H42" s="6"/>
      <c r="I42" s="4"/>
      <c r="J42" s="13">
        <f>50000*0.002*60/7000</f>
        <v>0.8571428571428571</v>
      </c>
      <c r="K42" s="14">
        <f t="shared" si="36"/>
        <v>3.754285714285714</v>
      </c>
      <c r="L42" s="20"/>
      <c r="M42" s="20"/>
      <c r="N42" s="21"/>
      <c r="O42" s="20"/>
      <c r="P42" s="20"/>
      <c r="Q42" s="20"/>
      <c r="R42" s="17"/>
      <c r="S42" s="21"/>
      <c r="T42" s="4"/>
      <c r="U42" s="4"/>
      <c r="V42" s="4"/>
      <c r="W42" s="4"/>
    </row>
    <row r="43" spans="1:23" ht="60" customHeight="1">
      <c r="A43" s="6" t="s">
        <v>109</v>
      </c>
      <c r="B43" s="6" t="s">
        <v>119</v>
      </c>
      <c r="C43" s="6" t="s">
        <v>38</v>
      </c>
      <c r="D43" s="4"/>
      <c r="E43" s="10"/>
      <c r="F43" s="11"/>
      <c r="G43" s="4"/>
      <c r="H43" s="6"/>
      <c r="I43" s="4"/>
      <c r="J43" s="13">
        <f>10000*0.002*60/7000*0.5</f>
        <v>0.08571428571428572</v>
      </c>
      <c r="K43" s="13">
        <f t="shared" si="36"/>
        <v>0.37542857142857144</v>
      </c>
      <c r="L43" s="20"/>
      <c r="M43" s="20"/>
      <c r="N43" s="21"/>
      <c r="O43" s="20"/>
      <c r="P43" s="20"/>
      <c r="Q43" s="20"/>
      <c r="R43" s="17"/>
      <c r="S43" s="21"/>
      <c r="T43" s="4"/>
      <c r="U43" s="4"/>
      <c r="V43" s="4"/>
      <c r="W43" s="4"/>
    </row>
    <row r="44" spans="1:23" ht="60" customHeight="1">
      <c r="A44" s="6" t="s">
        <v>109</v>
      </c>
      <c r="B44" s="6" t="s">
        <v>120</v>
      </c>
      <c r="C44" s="6" t="s">
        <v>38</v>
      </c>
      <c r="D44" s="4"/>
      <c r="E44" s="10"/>
      <c r="F44" s="11"/>
      <c r="G44" s="4"/>
      <c r="H44" s="6"/>
      <c r="I44" s="4"/>
      <c r="J44" s="14">
        <f>1780*0.01*60/7000*0.5</f>
        <v>0.07628571428571429</v>
      </c>
      <c r="K44" s="14">
        <f t="shared" si="36"/>
        <v>0.33413142857142863</v>
      </c>
      <c r="L44" s="20"/>
      <c r="M44" s="20"/>
      <c r="N44" s="21"/>
      <c r="O44" s="20"/>
      <c r="P44" s="20"/>
      <c r="Q44" s="20"/>
      <c r="R44" s="17"/>
      <c r="S44" s="21"/>
      <c r="T44" s="4"/>
      <c r="U44" s="4"/>
      <c r="V44" s="4"/>
      <c r="W44" s="4"/>
    </row>
    <row r="45" spans="1:23" ht="60" customHeight="1">
      <c r="A45" s="6" t="s">
        <v>109</v>
      </c>
      <c r="B45" s="6" t="s">
        <v>121</v>
      </c>
      <c r="C45" s="6" t="s">
        <v>38</v>
      </c>
      <c r="D45" s="4"/>
      <c r="E45" s="10"/>
      <c r="F45" s="11"/>
      <c r="G45" s="4"/>
      <c r="H45" s="6">
        <v>6.69</v>
      </c>
      <c r="I45" s="12" t="s">
        <v>33</v>
      </c>
      <c r="J45" s="16">
        <f>7.6/1000000*6559</f>
        <v>0.049848399999999994</v>
      </c>
      <c r="K45" s="14">
        <f t="shared" si="36"/>
        <v>0.21833599199999998</v>
      </c>
      <c r="L45" s="17">
        <f>0.6/1000000*6559</f>
        <v>0.0039353999999999995</v>
      </c>
      <c r="M45" s="15">
        <f>L45*8760/2000</f>
        <v>0.017237052</v>
      </c>
      <c r="N45" s="16">
        <f>84/1000000*6559</f>
        <v>0.550956</v>
      </c>
      <c r="O45" s="15">
        <f>N45*8760/2000</f>
        <v>2.4131872800000003</v>
      </c>
      <c r="P45" s="16">
        <f>5.5/1000000*6559</f>
        <v>0.0360745</v>
      </c>
      <c r="Q45" s="14">
        <f>P45*8760/2000</f>
        <v>0.15800631</v>
      </c>
      <c r="R45" s="18">
        <f>100/1000000*6559</f>
        <v>0.6559</v>
      </c>
      <c r="S45" s="14">
        <f>R45*8760/2000</f>
        <v>2.872842</v>
      </c>
      <c r="T45" s="4"/>
      <c r="U45" s="4"/>
      <c r="V45" s="4"/>
      <c r="W45" s="4"/>
    </row>
    <row r="46" spans="1:23" ht="15.75" customHeight="1">
      <c r="A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>
      <c r="A47" s="2" t="s">
        <v>122</v>
      </c>
      <c r="B47" s="23"/>
      <c r="C47" s="24"/>
      <c r="D47" s="24"/>
      <c r="E47" s="24"/>
      <c r="F47" s="24"/>
      <c r="G47" s="24"/>
      <c r="H47" s="24"/>
      <c r="I47" s="24"/>
      <c r="J47" s="25">
        <f aca="true" t="shared" si="37" ref="J47:W47">SUM(J3:J45)</f>
        <v>15.754974696752386</v>
      </c>
      <c r="K47" s="25">
        <f t="shared" si="37"/>
        <v>62.328579171775445</v>
      </c>
      <c r="L47" s="25">
        <f t="shared" si="37"/>
        <v>7.476471187055791</v>
      </c>
      <c r="M47" s="25">
        <f t="shared" si="37"/>
        <v>26.52406629930436</v>
      </c>
      <c r="N47" s="25">
        <f t="shared" si="37"/>
        <v>20.608407360608332</v>
      </c>
      <c r="O47" s="25">
        <f t="shared" si="37"/>
        <v>69.98735023946452</v>
      </c>
      <c r="P47" s="25">
        <f t="shared" si="37"/>
        <v>6.4636205</v>
      </c>
      <c r="Q47" s="25">
        <f t="shared" si="37"/>
        <v>20.812849290000003</v>
      </c>
      <c r="R47" s="25">
        <f t="shared" si="37"/>
        <v>32.943266015117935</v>
      </c>
      <c r="S47" s="25">
        <f t="shared" si="37"/>
        <v>50.18945514621652</v>
      </c>
      <c r="T47" s="25">
        <f t="shared" si="37"/>
        <v>0.3902504726427814</v>
      </c>
      <c r="U47" s="25">
        <f t="shared" si="37"/>
        <v>1.7092970701753825</v>
      </c>
      <c r="V47" s="25">
        <f t="shared" si="37"/>
        <v>0.9988518229591742</v>
      </c>
      <c r="W47" s="25">
        <f t="shared" si="37"/>
        <v>4.374970984561182</v>
      </c>
    </row>
    <row r="48" spans="1:23" ht="15.75" customHeight="1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>
      <c r="A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>
      <c r="A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>
      <c r="A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>
      <c r="A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>
      <c r="A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>
      <c r="A63" s="1"/>
      <c r="C63" s="1"/>
      <c r="D63" s="1"/>
      <c r="E63" s="1"/>
      <c r="F63" s="1"/>
      <c r="G63" s="1"/>
      <c r="H63" s="1"/>
      <c r="I63" s="2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>
      <c r="A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>
      <c r="A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>
      <c r="A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>
      <c r="A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>
      <c r="A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>
      <c r="A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>
      <c r="A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>
      <c r="A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>
      <c r="A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>
      <c r="A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>
      <c r="A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>
      <c r="A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>
      <c r="A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>
      <c r="A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>
      <c r="A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>
      <c r="A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>
      <c r="A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>
      <c r="A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>
      <c r="A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>
      <c r="A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>
      <c r="A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>
      <c r="A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>
      <c r="A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>
      <c r="A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>
      <c r="A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>
      <c r="A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>
      <c r="A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>
      <c r="A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>
      <c r="A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>
      <c r="A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>
      <c r="A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>
      <c r="A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>
      <c r="A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>
      <c r="A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>
      <c r="A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>
      <c r="A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>
      <c r="A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>
      <c r="A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>
      <c r="A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>
      <c r="A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>
      <c r="A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>
      <c r="A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>
      <c r="A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>
      <c r="A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>
      <c r="A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>
      <c r="A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>
      <c r="A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>
      <c r="A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>
      <c r="A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>
      <c r="A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>
      <c r="A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>
      <c r="A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>
      <c r="A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>
      <c r="A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>
      <c r="A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>
      <c r="A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>
      <c r="A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>
      <c r="A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>
      <c r="A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>
      <c r="A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>
      <c r="A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>
      <c r="A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>
      <c r="A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>
      <c r="A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>
      <c r="A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>
      <c r="A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>
      <c r="A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>
      <c r="A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>
      <c r="A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>
      <c r="A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>
      <c r="A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>
      <c r="A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>
      <c r="A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>
      <c r="A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>
      <c r="A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>
      <c r="A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>
      <c r="A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>
      <c r="A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>
      <c r="A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>
      <c r="A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>
      <c r="A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>
      <c r="A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>
      <c r="A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>
      <c r="A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>
      <c r="A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>
      <c r="A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>
      <c r="A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>
      <c r="A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>
      <c r="A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>
      <c r="A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>
      <c r="A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>
      <c r="A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>
      <c r="A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>
      <c r="A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>
      <c r="A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>
      <c r="A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>
      <c r="A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>
      <c r="A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>
      <c r="A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>
      <c r="A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>
      <c r="A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>
      <c r="A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>
      <c r="A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>
      <c r="A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>
      <c r="A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>
      <c r="A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>
      <c r="A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>
      <c r="A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>
      <c r="A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>
      <c r="A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>
      <c r="A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>
      <c r="A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>
      <c r="A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>
      <c r="A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>
      <c r="A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>
      <c r="A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>
      <c r="A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>
      <c r="A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>
      <c r="A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>
      <c r="A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>
      <c r="A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>
      <c r="A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>
      <c r="A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>
      <c r="A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>
      <c r="A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>
      <c r="A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>
      <c r="A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>
      <c r="A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>
      <c r="A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>
      <c r="A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>
      <c r="A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>
      <c r="A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>
      <c r="A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>
      <c r="A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>
      <c r="A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>
      <c r="A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>
      <c r="A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>
      <c r="A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>
      <c r="A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>
      <c r="A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>
      <c r="A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>
      <c r="A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>
      <c r="A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>
      <c r="A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>
      <c r="A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>
      <c r="A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>
      <c r="A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>
      <c r="A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>
      <c r="A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>
      <c r="A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>
      <c r="A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>
      <c r="A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>
      <c r="A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>
      <c r="A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>
      <c r="A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>
      <c r="A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>
      <c r="A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>
      <c r="A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>
      <c r="A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>
      <c r="A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>
      <c r="A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>
      <c r="A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>
      <c r="A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>
      <c r="A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>
      <c r="A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>
      <c r="A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>
      <c r="A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>
      <c r="A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>
      <c r="A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>
      <c r="A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>
      <c r="A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>
      <c r="A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>
      <c r="A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>
      <c r="A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>
      <c r="A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>
      <c r="A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>
      <c r="A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>
      <c r="A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>
      <c r="A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>
      <c r="A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>
      <c r="A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>
      <c r="A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>
      <c r="A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>
      <c r="A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>
      <c r="A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>
      <c r="A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>
      <c r="A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>
      <c r="A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>
      <c r="A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>
      <c r="A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>
      <c r="A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>
      <c r="A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>
      <c r="A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>
      <c r="A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>
      <c r="A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>
      <c r="A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>
      <c r="A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>
      <c r="A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>
      <c r="A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>
      <c r="A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>
      <c r="A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>
      <c r="A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>
      <c r="A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>
      <c r="A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>
      <c r="A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>
      <c r="A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>
      <c r="A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>
      <c r="A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>
      <c r="A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>
      <c r="A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>
      <c r="A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>
      <c r="A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>
      <c r="A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>
      <c r="A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>
      <c r="A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>
      <c r="A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>
      <c r="A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>
      <c r="A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>
      <c r="A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>
      <c r="A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>
      <c r="A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>
      <c r="A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>
      <c r="A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>
      <c r="A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>
      <c r="A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>
      <c r="A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>
      <c r="A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>
      <c r="A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>
      <c r="A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>
      <c r="A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>
      <c r="A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>
      <c r="A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>
      <c r="A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>
      <c r="A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>
      <c r="A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>
      <c r="A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>
      <c r="A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>
      <c r="A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>
      <c r="A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>
      <c r="A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>
      <c r="A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>
      <c r="A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>
      <c r="A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>
      <c r="A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>
      <c r="A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>
      <c r="A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>
      <c r="A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>
      <c r="A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>
      <c r="A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>
      <c r="A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>
      <c r="A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>
      <c r="A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>
      <c r="A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>
      <c r="A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>
      <c r="A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>
      <c r="A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>
      <c r="A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>
      <c r="A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>
      <c r="A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>
      <c r="A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>
      <c r="A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>
      <c r="A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>
      <c r="A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>
      <c r="A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>
      <c r="A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>
      <c r="A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>
      <c r="A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>
      <c r="A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>
      <c r="A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>
      <c r="A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>
      <c r="A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>
      <c r="A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>
      <c r="A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>
      <c r="A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>
      <c r="A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>
      <c r="A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>
      <c r="A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>
      <c r="A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>
      <c r="A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>
      <c r="A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>
      <c r="A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>
      <c r="A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>
      <c r="A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>
      <c r="A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>
      <c r="A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>
      <c r="A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>
      <c r="A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>
      <c r="A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>
      <c r="A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>
      <c r="A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>
      <c r="A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>
      <c r="A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>
      <c r="A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>
      <c r="A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>
      <c r="A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>
      <c r="A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>
      <c r="A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>
      <c r="A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>
      <c r="A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>
      <c r="A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>
      <c r="A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>
      <c r="A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>
      <c r="A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>
      <c r="A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>
      <c r="A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>
      <c r="A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>
      <c r="A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>
      <c r="A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>
      <c r="A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>
      <c r="A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>
      <c r="A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>
      <c r="A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>
      <c r="A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>
      <c r="A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>
      <c r="A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>
      <c r="A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>
      <c r="A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>
      <c r="A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>
      <c r="A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>
      <c r="A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>
      <c r="A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>
      <c r="A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>
      <c r="A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>
      <c r="A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>
      <c r="A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>
      <c r="A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>
      <c r="A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>
      <c r="A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>
      <c r="A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>
      <c r="A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>
      <c r="A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>
      <c r="A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>
      <c r="A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>
      <c r="A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>
      <c r="A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>
      <c r="A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>
      <c r="A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>
      <c r="A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>
      <c r="A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>
      <c r="A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>
      <c r="A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>
      <c r="A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>
      <c r="A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>
      <c r="A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>
      <c r="A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>
      <c r="A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>
      <c r="A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>
      <c r="A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>
      <c r="A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>
      <c r="A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>
      <c r="A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>
      <c r="A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>
      <c r="A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>
      <c r="A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>
      <c r="A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>
      <c r="A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>
      <c r="A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>
      <c r="A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>
      <c r="A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>
      <c r="A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>
      <c r="A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>
      <c r="A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>
      <c r="A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>
      <c r="A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>
      <c r="A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>
      <c r="A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>
      <c r="A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>
      <c r="A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>
      <c r="A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>
      <c r="A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>
      <c r="A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>
      <c r="A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>
      <c r="A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>
      <c r="A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>
      <c r="A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>
      <c r="A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>
      <c r="A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>
      <c r="A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>
      <c r="A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>
      <c r="A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>
      <c r="A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>
      <c r="A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>
      <c r="A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>
      <c r="A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>
      <c r="A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>
      <c r="A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>
      <c r="A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>
      <c r="A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>
      <c r="A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>
      <c r="A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>
      <c r="A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>
      <c r="A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>
      <c r="A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>
      <c r="A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>
      <c r="A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>
      <c r="A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>
      <c r="A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>
      <c r="A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>
      <c r="A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>
      <c r="A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>
      <c r="A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>
      <c r="A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>
      <c r="A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>
      <c r="A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>
      <c r="A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>
      <c r="A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>
      <c r="A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>
      <c r="A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>
      <c r="A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>
      <c r="A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>
      <c r="A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>
      <c r="A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>
      <c r="A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>
      <c r="A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>
      <c r="A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>
      <c r="A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>
      <c r="A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>
      <c r="A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>
      <c r="A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>
      <c r="A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>
      <c r="A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>
      <c r="A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>
      <c r="A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>
      <c r="A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>
      <c r="A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>
      <c r="A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>
      <c r="A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>
      <c r="A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>
      <c r="A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>
      <c r="A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>
      <c r="A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>
      <c r="A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>
      <c r="A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>
      <c r="A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>
      <c r="A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>
      <c r="A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>
      <c r="A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>
      <c r="A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>
      <c r="A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>
      <c r="A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>
      <c r="A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>
      <c r="A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>
      <c r="A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>
      <c r="A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>
      <c r="A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>
      <c r="A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>
      <c r="A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>
      <c r="A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>
      <c r="A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>
      <c r="A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>
      <c r="A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>
      <c r="A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>
      <c r="A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>
      <c r="A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>
      <c r="A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>
      <c r="A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>
      <c r="A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>
      <c r="A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>
      <c r="A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>
      <c r="A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>
      <c r="A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>
      <c r="A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>
      <c r="A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>
      <c r="A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>
      <c r="A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>
      <c r="A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>
      <c r="A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>
      <c r="A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>
      <c r="A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>
      <c r="A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>
      <c r="A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>
      <c r="A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>
      <c r="A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>
      <c r="A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>
      <c r="A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>
      <c r="A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>
      <c r="A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>
      <c r="A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>
      <c r="A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>
      <c r="A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>
      <c r="A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>
      <c r="A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>
      <c r="A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>
      <c r="A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>
      <c r="A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>
      <c r="A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>
      <c r="A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>
      <c r="A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>
      <c r="A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>
      <c r="A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>
      <c r="A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>
      <c r="A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>
      <c r="A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>
      <c r="A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>
      <c r="A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>
      <c r="A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>
      <c r="A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>
      <c r="A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>
      <c r="A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>
      <c r="A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>
      <c r="A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>
      <c r="A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>
      <c r="A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>
      <c r="A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>
      <c r="A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>
      <c r="A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>
      <c r="A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>
      <c r="A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>
      <c r="A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>
      <c r="A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>
      <c r="A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>
      <c r="A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>
      <c r="A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>
      <c r="A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>
      <c r="A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>
      <c r="A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>
      <c r="A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>
      <c r="A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>
      <c r="A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>
      <c r="A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>
      <c r="A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>
      <c r="A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>
      <c r="A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>
      <c r="A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>
      <c r="A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>
      <c r="A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>
      <c r="A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>
      <c r="A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>
      <c r="A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>
      <c r="A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>
      <c r="A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>
      <c r="A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>
      <c r="A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>
      <c r="A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>
      <c r="A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>
      <c r="A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>
      <c r="A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>
      <c r="A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>
      <c r="A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>
      <c r="A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>
      <c r="A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>
      <c r="A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>
      <c r="A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>
      <c r="A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>
      <c r="A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>
      <c r="A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>
      <c r="A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>
      <c r="A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>
      <c r="A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>
      <c r="A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>
      <c r="A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>
      <c r="A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>
      <c r="A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>
      <c r="A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>
      <c r="A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>
      <c r="A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>
      <c r="A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>
      <c r="A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>
      <c r="A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>
      <c r="A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>
      <c r="A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>
      <c r="A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>
      <c r="A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>
      <c r="A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>
      <c r="A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>
      <c r="A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>
      <c r="A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>
      <c r="A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>
      <c r="A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>
      <c r="A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>
      <c r="A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>
      <c r="A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>
      <c r="A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>
      <c r="A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>
      <c r="A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>
      <c r="A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>
      <c r="A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>
      <c r="A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>
      <c r="A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>
      <c r="A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>
      <c r="A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>
      <c r="A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>
      <c r="A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>
      <c r="A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>
      <c r="A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>
      <c r="A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>
      <c r="A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>
      <c r="A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>
      <c r="A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>
      <c r="A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>
      <c r="A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>
      <c r="A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>
      <c r="A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>
      <c r="A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>
      <c r="A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>
      <c r="A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>
      <c r="A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>
      <c r="A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>
      <c r="A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>
      <c r="A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>
      <c r="A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>
      <c r="A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>
      <c r="A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>
      <c r="A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>
      <c r="A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>
      <c r="A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>
      <c r="A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>
      <c r="A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>
      <c r="A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>
      <c r="A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>
      <c r="A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>
      <c r="A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>
      <c r="A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>
      <c r="A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>
      <c r="A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>
      <c r="A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>
      <c r="A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>
      <c r="A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>
      <c r="A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>
      <c r="A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>
      <c r="A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>
      <c r="A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>
      <c r="A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>
      <c r="A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>
      <c r="A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>
      <c r="A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>
      <c r="A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>
      <c r="A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>
      <c r="A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>
      <c r="A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>
      <c r="A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>
      <c r="A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>
      <c r="A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>
      <c r="A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>
      <c r="A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>
      <c r="A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>
      <c r="A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>
      <c r="A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>
      <c r="A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>
      <c r="A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>
      <c r="A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>
      <c r="A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>
      <c r="A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>
      <c r="A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>
      <c r="A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>
      <c r="A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>
      <c r="A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>
      <c r="A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>
      <c r="A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>
      <c r="A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>
      <c r="A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>
      <c r="A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>
      <c r="A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>
      <c r="A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>
      <c r="A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>
      <c r="A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>
      <c r="A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>
      <c r="A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>
      <c r="A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>
      <c r="A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>
      <c r="A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>
      <c r="A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>
      <c r="A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>
      <c r="A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>
      <c r="A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>
      <c r="A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>
      <c r="A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>
      <c r="A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>
      <c r="A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>
      <c r="A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>
      <c r="A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>
      <c r="A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>
      <c r="A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>
      <c r="A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>
      <c r="A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>
      <c r="A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>
      <c r="A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>
      <c r="A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>
      <c r="A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>
      <c r="A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>
      <c r="A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>
      <c r="A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>
      <c r="A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>
      <c r="A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>
      <c r="A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>
      <c r="A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>
      <c r="A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>
      <c r="A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>
      <c r="A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>
      <c r="A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>
      <c r="A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>
      <c r="A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>
      <c r="A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>
      <c r="A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>
      <c r="A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>
      <c r="A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>
      <c r="A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>
      <c r="A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>
      <c r="A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>
      <c r="A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>
      <c r="A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>
      <c r="A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>
      <c r="A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>
      <c r="A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>
      <c r="A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>
      <c r="A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>
      <c r="A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>
      <c r="A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>
      <c r="A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>
      <c r="A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>
      <c r="A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>
      <c r="A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>
      <c r="A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>
      <c r="A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>
      <c r="A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>
      <c r="A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>
      <c r="A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>
      <c r="A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>
      <c r="A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>
      <c r="A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>
      <c r="A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>
      <c r="A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>
      <c r="A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>
      <c r="A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>
      <c r="A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>
      <c r="A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>
      <c r="A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>
      <c r="A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>
      <c r="A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>
      <c r="A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>
      <c r="A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>
      <c r="A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>
      <c r="A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>
      <c r="A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>
      <c r="A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>
      <c r="A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>
      <c r="A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>
      <c r="A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>
      <c r="A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>
      <c r="A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>
      <c r="A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>
      <c r="A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>
      <c r="A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>
      <c r="A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>
      <c r="A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>
      <c r="A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>
      <c r="A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>
      <c r="A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>
      <c r="A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>
      <c r="A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>
      <c r="A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>
      <c r="A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>
      <c r="A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>
      <c r="A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>
      <c r="A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>
      <c r="A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>
      <c r="A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>
      <c r="A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>
      <c r="A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>
      <c r="A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>
      <c r="A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>
      <c r="A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>
      <c r="A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>
      <c r="A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>
      <c r="A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>
      <c r="A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>
      <c r="A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>
      <c r="A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>
      <c r="A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>
      <c r="A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>
      <c r="A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>
      <c r="A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>
      <c r="A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>
      <c r="A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>
      <c r="A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>
      <c r="A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>
      <c r="A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>
      <c r="A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>
      <c r="A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>
      <c r="A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>
      <c r="A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>
      <c r="A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>
      <c r="A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>
      <c r="A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>
      <c r="A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>
      <c r="A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>
      <c r="A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>
      <c r="A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>
      <c r="A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>
      <c r="A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>
      <c r="A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>
      <c r="A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>
      <c r="A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>
      <c r="A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>
      <c r="A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>
      <c r="A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>
      <c r="A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>
      <c r="A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>
      <c r="A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>
      <c r="A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>
      <c r="A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>
      <c r="A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>
      <c r="A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>
      <c r="A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>
      <c r="A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>
      <c r="A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>
      <c r="A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>
      <c r="A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>
      <c r="A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>
      <c r="A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>
      <c r="A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>
      <c r="A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>
      <c r="A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>
      <c r="A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>
      <c r="A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>
      <c r="A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>
      <c r="A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>
      <c r="A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>
      <c r="A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>
      <c r="A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>
      <c r="A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>
      <c r="A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>
      <c r="A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>
      <c r="A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>
      <c r="A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>
      <c r="A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>
      <c r="A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>
      <c r="A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>
      <c r="A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>
      <c r="A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>
      <c r="A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>
      <c r="A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>
      <c r="A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>
      <c r="A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>
      <c r="A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>
      <c r="A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>
      <c r="A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>
      <c r="A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>
      <c r="A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>
      <c r="A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>
      <c r="A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>
      <c r="A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>
      <c r="A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>
      <c r="A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>
      <c r="A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>
      <c r="A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>
      <c r="A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>
      <c r="A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>
      <c r="A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>
      <c r="A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>
      <c r="A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>
      <c r="A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>
      <c r="A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>
      <c r="A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>
      <c r="A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>
      <c r="A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>
      <c r="A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>
      <c r="A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>
      <c r="A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>
      <c r="A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>
      <c r="A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>
      <c r="A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>
      <c r="A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>
      <c r="A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>
      <c r="A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>
      <c r="A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>
      <c r="A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>
      <c r="A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>
      <c r="A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>
      <c r="A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>
      <c r="A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>
      <c r="A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>
      <c r="A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>
      <c r="A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>
      <c r="A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>
      <c r="A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>
      <c r="A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>
      <c r="A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15.75" customHeight="1">
      <c r="A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15.75" customHeight="1">
      <c r="A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ht="15.75" customHeight="1">
      <c r="A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ht="15.75" customHeight="1">
      <c r="A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ht="15.75" customHeight="1">
      <c r="A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ht="15.75" customHeight="1">
      <c r="A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 ht="15.75" customHeight="1">
      <c r="A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ht="15.75" customHeight="1">
      <c r="A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 ht="15.75" customHeight="1">
      <c r="A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 ht="15.75" customHeight="1">
      <c r="A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ht="15.75" customHeight="1">
      <c r="A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 ht="15.75" customHeight="1">
      <c r="A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</sheetData>
  <mergeCells count="1">
    <mergeCell ref="F1:W1"/>
  </mergeCells>
  <printOptions/>
  <pageMargins left="0.7" right="0.7" top="0.75" bottom="0.75" header="0" footer="0"/>
  <pageSetup fitToHeight="0" fitToWidth="1" horizontalDpi="600" verticalDpi="600" orientation="landscape" paperSize="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D38"/>
  <sheetViews>
    <sheetView workbookViewId="0" topLeftCell="A1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2.625" defaultRowHeight="15" customHeight="1"/>
  <cols>
    <col min="1" max="1" width="9.875" style="0" customWidth="1"/>
    <col min="2" max="2" width="5.00390625" style="0" customWidth="1"/>
    <col min="3" max="3" width="11.50390625" style="0" customWidth="1"/>
    <col min="4" max="4" width="6.75390625" style="0" customWidth="1"/>
    <col min="5" max="5" width="37.875" style="0" customWidth="1"/>
    <col min="6" max="6" width="30.125" style="0" customWidth="1"/>
    <col min="7" max="7" width="9.25390625" style="0" customWidth="1"/>
    <col min="8" max="8" width="14.875" style="0" customWidth="1"/>
    <col min="9" max="9" width="54.625" style="0" customWidth="1"/>
    <col min="10" max="10" width="8.875" style="0" customWidth="1"/>
    <col min="11" max="11" width="9.25390625" style="0" customWidth="1"/>
    <col min="12" max="12" width="9.50390625" style="0" customWidth="1"/>
    <col min="13" max="13" width="13.375" style="0" customWidth="1"/>
    <col min="14" max="14" width="10.625" style="0" customWidth="1"/>
    <col min="15" max="15" width="18.50390625" style="0" customWidth="1"/>
    <col min="16" max="16" width="10.50390625" style="0" customWidth="1"/>
    <col min="17" max="17" width="7.00390625" style="0" hidden="1" customWidth="1"/>
    <col min="18" max="18" width="10.50390625" style="0" hidden="1" customWidth="1"/>
  </cols>
  <sheetData>
    <row r="1" spans="1:30" ht="75">
      <c r="A1" s="27" t="s">
        <v>123</v>
      </c>
      <c r="B1" s="27" t="s">
        <v>124</v>
      </c>
      <c r="C1" s="28" t="s">
        <v>125</v>
      </c>
      <c r="D1" s="27" t="s">
        <v>126</v>
      </c>
      <c r="E1" s="28" t="s">
        <v>127</v>
      </c>
      <c r="F1" s="27" t="s">
        <v>128</v>
      </c>
      <c r="G1" s="27" t="s">
        <v>129</v>
      </c>
      <c r="H1" s="27" t="s">
        <v>130</v>
      </c>
      <c r="I1" s="27" t="s">
        <v>131</v>
      </c>
      <c r="J1" s="27" t="s">
        <v>132</v>
      </c>
      <c r="K1" s="27" t="s">
        <v>133</v>
      </c>
      <c r="L1" s="27" t="s">
        <v>134</v>
      </c>
      <c r="M1" s="28" t="s">
        <v>135</v>
      </c>
      <c r="N1" s="28" t="s">
        <v>136</v>
      </c>
      <c r="O1" s="27" t="s">
        <v>137</v>
      </c>
      <c r="P1" s="27" t="s">
        <v>138</v>
      </c>
      <c r="Q1" s="27" t="s">
        <v>139</v>
      </c>
      <c r="R1" s="27" t="s">
        <v>140</v>
      </c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18" ht="15" hidden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5" hidden="1">
      <c r="A3" s="31" t="s">
        <v>141</v>
      </c>
      <c r="B3" s="31">
        <v>1</v>
      </c>
      <c r="C3" s="31"/>
      <c r="D3" s="31" t="s">
        <v>142</v>
      </c>
      <c r="E3" s="32"/>
      <c r="F3" s="32" t="s">
        <v>143</v>
      </c>
      <c r="G3" s="31" t="s">
        <v>144</v>
      </c>
      <c r="H3" s="31" t="s">
        <v>145</v>
      </c>
      <c r="I3" s="31" t="s">
        <v>146</v>
      </c>
      <c r="J3" s="32" t="s">
        <v>147</v>
      </c>
      <c r="K3" s="31" t="s">
        <v>148</v>
      </c>
      <c r="L3" s="31">
        <v>925</v>
      </c>
      <c r="M3" s="31"/>
      <c r="N3" s="31"/>
      <c r="O3" s="31">
        <v>0.01</v>
      </c>
      <c r="P3" s="33">
        <f>L3*O3*60*8760/7000/2000*0.5</f>
        <v>0.17363571428571428</v>
      </c>
      <c r="Q3" s="34">
        <v>0.25</v>
      </c>
      <c r="R3" s="33">
        <f aca="true" t="shared" si="0" ref="R3:R12">P3+(P3*Q3)</f>
        <v>0.21704464285714287</v>
      </c>
    </row>
    <row r="4" spans="1:18" ht="15" hidden="1">
      <c r="A4" s="31" t="s">
        <v>141</v>
      </c>
      <c r="B4" s="31">
        <v>1</v>
      </c>
      <c r="C4" s="31"/>
      <c r="D4" s="31" t="s">
        <v>149</v>
      </c>
      <c r="E4" s="32"/>
      <c r="F4" s="32" t="s">
        <v>150</v>
      </c>
      <c r="G4" s="31" t="s">
        <v>151</v>
      </c>
      <c r="H4" s="31" t="s">
        <v>152</v>
      </c>
      <c r="I4" s="31" t="s">
        <v>153</v>
      </c>
      <c r="J4" s="32" t="s">
        <v>147</v>
      </c>
      <c r="K4" s="31" t="s">
        <v>154</v>
      </c>
      <c r="L4" s="31">
        <v>24540</v>
      </c>
      <c r="M4" s="31"/>
      <c r="N4" s="31"/>
      <c r="O4" s="31">
        <v>0.003</v>
      </c>
      <c r="P4" s="33">
        <f>L4*O4*60*8760/7000/2000</f>
        <v>2.7639051428571433</v>
      </c>
      <c r="Q4" s="34">
        <v>0.25</v>
      </c>
      <c r="R4" s="33">
        <f t="shared" si="0"/>
        <v>3.4548814285714293</v>
      </c>
    </row>
    <row r="5" spans="1:18" ht="15" hidden="1">
      <c r="A5" s="31" t="s">
        <v>141</v>
      </c>
      <c r="B5" s="31">
        <v>1</v>
      </c>
      <c r="C5" s="31"/>
      <c r="D5" s="31" t="s">
        <v>155</v>
      </c>
      <c r="E5" s="32"/>
      <c r="F5" s="32" t="s">
        <v>156</v>
      </c>
      <c r="G5" s="31" t="s">
        <v>157</v>
      </c>
      <c r="H5" s="31" t="s">
        <v>158</v>
      </c>
      <c r="I5" s="32" t="s">
        <v>159</v>
      </c>
      <c r="J5" s="32" t="s">
        <v>147</v>
      </c>
      <c r="K5" s="31" t="s">
        <v>148</v>
      </c>
      <c r="L5" s="31">
        <v>1141</v>
      </c>
      <c r="M5" s="31"/>
      <c r="N5" s="31"/>
      <c r="O5" s="31">
        <v>0.01</v>
      </c>
      <c r="P5" s="33">
        <f>L5*O5*60*8760/7000/2000*0.5</f>
        <v>0.21418199999999998</v>
      </c>
      <c r="Q5" s="34">
        <v>0.25</v>
      </c>
      <c r="R5" s="33">
        <f t="shared" si="0"/>
        <v>0.2677275</v>
      </c>
    </row>
    <row r="6" spans="1:18" ht="15" hidden="1">
      <c r="A6" s="31" t="s">
        <v>141</v>
      </c>
      <c r="B6" s="31">
        <v>1</v>
      </c>
      <c r="C6" s="31"/>
      <c r="D6" s="31" t="s">
        <v>160</v>
      </c>
      <c r="E6" s="32"/>
      <c r="F6" s="32" t="s">
        <v>150</v>
      </c>
      <c r="G6" s="31" t="s">
        <v>151</v>
      </c>
      <c r="H6" s="31" t="s">
        <v>161</v>
      </c>
      <c r="I6" s="31" t="s">
        <v>162</v>
      </c>
      <c r="J6" s="32" t="s">
        <v>147</v>
      </c>
      <c r="K6" s="31" t="s">
        <v>154</v>
      </c>
      <c r="L6" s="31">
        <v>2013</v>
      </c>
      <c r="M6" s="31"/>
      <c r="N6" s="31"/>
      <c r="O6" s="31">
        <v>0.003</v>
      </c>
      <c r="P6" s="33">
        <f>L6*O6*60*8760/7000/2000</f>
        <v>0.22672131428571426</v>
      </c>
      <c r="Q6" s="34">
        <v>0.25</v>
      </c>
      <c r="R6" s="33">
        <f t="shared" si="0"/>
        <v>0.2834016428571428</v>
      </c>
    </row>
    <row r="7" spans="1:18" ht="15" hidden="1">
      <c r="A7" s="31" t="s">
        <v>141</v>
      </c>
      <c r="B7" s="31">
        <v>1</v>
      </c>
      <c r="C7" s="31"/>
      <c r="D7" s="31" t="s">
        <v>163</v>
      </c>
      <c r="E7" s="32"/>
      <c r="F7" s="32" t="s">
        <v>164</v>
      </c>
      <c r="G7" s="31"/>
      <c r="H7" s="31" t="s">
        <v>165</v>
      </c>
      <c r="I7" s="31" t="s">
        <v>166</v>
      </c>
      <c r="J7" s="32" t="s">
        <v>147</v>
      </c>
      <c r="K7" s="31" t="s">
        <v>148</v>
      </c>
      <c r="L7" s="31">
        <v>1780</v>
      </c>
      <c r="M7" s="32"/>
      <c r="N7" s="32"/>
      <c r="O7" s="32">
        <v>0.01</v>
      </c>
      <c r="P7" s="35">
        <f>L7*O7*60*8760/7000/2000*0.5</f>
        <v>0.3341314285714286</v>
      </c>
      <c r="Q7" s="36">
        <v>0.25</v>
      </c>
      <c r="R7" s="35">
        <f t="shared" si="0"/>
        <v>0.4176642857142857</v>
      </c>
    </row>
    <row r="8" spans="1:18" ht="15" hidden="1">
      <c r="A8" s="31" t="s">
        <v>141</v>
      </c>
      <c r="B8" s="31">
        <v>1</v>
      </c>
      <c r="C8" s="31"/>
      <c r="D8" s="31" t="s">
        <v>167</v>
      </c>
      <c r="E8" s="32"/>
      <c r="F8" s="32" t="s">
        <v>150</v>
      </c>
      <c r="G8" s="31" t="s">
        <v>151</v>
      </c>
      <c r="H8" s="31"/>
      <c r="I8" s="31" t="s">
        <v>153</v>
      </c>
      <c r="J8" s="32" t="s">
        <v>147</v>
      </c>
      <c r="K8" s="31" t="s">
        <v>168</v>
      </c>
      <c r="L8" s="31">
        <v>13863</v>
      </c>
      <c r="M8" s="31"/>
      <c r="N8" s="31"/>
      <c r="O8" s="31">
        <v>0.003</v>
      </c>
      <c r="P8" s="33">
        <f>L8*O8*60*8760/7000/2000</f>
        <v>1.561369885714286</v>
      </c>
      <c r="Q8" s="34">
        <v>0.25</v>
      </c>
      <c r="R8" s="33">
        <f t="shared" si="0"/>
        <v>1.9517123571428574</v>
      </c>
    </row>
    <row r="9" spans="1:18" ht="15" hidden="1">
      <c r="A9" s="31" t="s">
        <v>141</v>
      </c>
      <c r="B9" s="31">
        <v>2</v>
      </c>
      <c r="C9" s="31"/>
      <c r="D9" s="31" t="s">
        <v>169</v>
      </c>
      <c r="E9" s="32"/>
      <c r="F9" s="32" t="s">
        <v>170</v>
      </c>
      <c r="G9" s="31"/>
      <c r="H9" s="31"/>
      <c r="I9" s="31" t="s">
        <v>171</v>
      </c>
      <c r="J9" s="32" t="s">
        <v>147</v>
      </c>
      <c r="K9" s="31" t="s">
        <v>148</v>
      </c>
      <c r="L9" s="31">
        <v>532</v>
      </c>
      <c r="M9" s="31"/>
      <c r="N9" s="31"/>
      <c r="O9" s="31">
        <v>0.02</v>
      </c>
      <c r="P9" s="33">
        <f>L9*O9*60*8760/7000/2000*0.5</f>
        <v>0.19972800000000004</v>
      </c>
      <c r="Q9" s="34">
        <v>0.25</v>
      </c>
      <c r="R9" s="33">
        <f t="shared" si="0"/>
        <v>0.24966000000000005</v>
      </c>
    </row>
    <row r="10" spans="1:18" ht="15" hidden="1">
      <c r="A10" s="31" t="s">
        <v>141</v>
      </c>
      <c r="B10" s="31">
        <v>1</v>
      </c>
      <c r="C10" s="31"/>
      <c r="D10" s="31" t="s">
        <v>172</v>
      </c>
      <c r="E10" s="32"/>
      <c r="F10" s="32" t="s">
        <v>150</v>
      </c>
      <c r="G10" s="31" t="s">
        <v>173</v>
      </c>
      <c r="H10" s="31" t="s">
        <v>174</v>
      </c>
      <c r="I10" s="31" t="s">
        <v>175</v>
      </c>
      <c r="J10" s="32" t="s">
        <v>147</v>
      </c>
      <c r="K10" s="31" t="s">
        <v>154</v>
      </c>
      <c r="L10" s="31">
        <v>10000</v>
      </c>
      <c r="M10" s="31"/>
      <c r="N10" s="31"/>
      <c r="O10" s="31">
        <v>0.005</v>
      </c>
      <c r="P10" s="33">
        <f aca="true" t="shared" si="1" ref="P10:P11">L10*O10*60*8760/7000/2000</f>
        <v>1.877142857142857</v>
      </c>
      <c r="Q10" s="34">
        <v>0.25</v>
      </c>
      <c r="R10" s="33">
        <f t="shared" si="0"/>
        <v>2.346428571428571</v>
      </c>
    </row>
    <row r="11" spans="1:18" ht="15" hidden="1">
      <c r="A11" s="31" t="s">
        <v>141</v>
      </c>
      <c r="B11" s="31">
        <v>1</v>
      </c>
      <c r="C11" s="31"/>
      <c r="D11" s="31" t="s">
        <v>176</v>
      </c>
      <c r="E11" s="32"/>
      <c r="F11" s="32" t="s">
        <v>150</v>
      </c>
      <c r="G11" s="31" t="s">
        <v>151</v>
      </c>
      <c r="H11" s="31" t="s">
        <v>177</v>
      </c>
      <c r="I11" s="31" t="s">
        <v>178</v>
      </c>
      <c r="J11" s="32" t="s">
        <v>147</v>
      </c>
      <c r="K11" s="31" t="s">
        <v>154</v>
      </c>
      <c r="L11" s="31">
        <v>10319</v>
      </c>
      <c r="M11" s="31"/>
      <c r="N11" s="31"/>
      <c r="O11" s="31">
        <v>0.003</v>
      </c>
      <c r="P11" s="33">
        <f t="shared" si="1"/>
        <v>1.1622142285714288</v>
      </c>
      <c r="Q11" s="34">
        <v>0.25</v>
      </c>
      <c r="R11" s="33">
        <f t="shared" si="0"/>
        <v>1.452767785714286</v>
      </c>
    </row>
    <row r="12" spans="1:18" ht="15" hidden="1">
      <c r="A12" s="31" t="s">
        <v>141</v>
      </c>
      <c r="B12" s="31">
        <v>1</v>
      </c>
      <c r="C12" s="31"/>
      <c r="D12" s="31" t="s">
        <v>179</v>
      </c>
      <c r="E12" s="32"/>
      <c r="F12" s="32" t="s">
        <v>143</v>
      </c>
      <c r="G12" s="31" t="s">
        <v>157</v>
      </c>
      <c r="H12" s="31" t="s">
        <v>180</v>
      </c>
      <c r="I12" s="31" t="s">
        <v>181</v>
      </c>
      <c r="J12" s="32" t="s">
        <v>147</v>
      </c>
      <c r="K12" s="31" t="s">
        <v>148</v>
      </c>
      <c r="L12" s="31">
        <v>790</v>
      </c>
      <c r="M12" s="31"/>
      <c r="N12" s="31"/>
      <c r="O12" s="31">
        <v>0.01</v>
      </c>
      <c r="P12" s="33">
        <f>L12*O12*60*8760/7000/2000*0.5</f>
        <v>0.1482942857142857</v>
      </c>
      <c r="Q12" s="34">
        <v>0.25</v>
      </c>
      <c r="R12" s="33">
        <f t="shared" si="0"/>
        <v>0.18536785714285714</v>
      </c>
    </row>
    <row r="13" ht="14.25" hidden="1"/>
    <row r="14" ht="14.25" hidden="1"/>
    <row r="15" ht="14.25" hidden="1"/>
    <row r="17" spans="1:30" ht="14.25">
      <c r="A17" s="37" t="s">
        <v>141</v>
      </c>
      <c r="B17" s="37">
        <v>1</v>
      </c>
      <c r="C17" s="38"/>
      <c r="D17" s="38" t="s">
        <v>182</v>
      </c>
      <c r="E17" s="39" t="s">
        <v>183</v>
      </c>
      <c r="F17" s="40" t="s">
        <v>150</v>
      </c>
      <c r="G17" s="37" t="s">
        <v>151</v>
      </c>
      <c r="H17" s="37"/>
      <c r="I17" s="37" t="s">
        <v>153</v>
      </c>
      <c r="J17" s="40" t="s">
        <v>147</v>
      </c>
      <c r="K17" s="38" t="s">
        <v>154</v>
      </c>
      <c r="L17" s="37">
        <v>13863</v>
      </c>
      <c r="M17" s="37"/>
      <c r="N17" s="37"/>
      <c r="O17" s="38">
        <v>0.002</v>
      </c>
      <c r="P17" s="41">
        <f>L17*O17*60*8760/7000/2000</f>
        <v>1.0409132571428572</v>
      </c>
      <c r="Q17" s="42"/>
      <c r="R17" s="41">
        <f aca="true" t="shared" si="2" ref="R17:R19">P17+(P17*Q17)</f>
        <v>1.0409132571428572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15">
      <c r="A18" s="44" t="s">
        <v>141</v>
      </c>
      <c r="B18" s="44">
        <v>1</v>
      </c>
      <c r="C18" s="44"/>
      <c r="D18" s="44" t="s">
        <v>184</v>
      </c>
      <c r="E18" s="44" t="s">
        <v>185</v>
      </c>
      <c r="F18" s="44" t="s">
        <v>186</v>
      </c>
      <c r="G18" s="44" t="s">
        <v>187</v>
      </c>
      <c r="H18" s="44" t="s">
        <v>188</v>
      </c>
      <c r="I18" s="45"/>
      <c r="J18" s="45"/>
      <c r="K18" s="44" t="s">
        <v>148</v>
      </c>
      <c r="L18" s="44">
        <v>1400</v>
      </c>
      <c r="M18" s="45"/>
      <c r="N18" s="45"/>
      <c r="O18" s="44">
        <v>0.002</v>
      </c>
      <c r="P18" s="41">
        <f>L18*O18*60*8760/7000/2000*0.5</f>
        <v>0.05256000000000001</v>
      </c>
      <c r="Q18" s="42"/>
      <c r="R18" s="41">
        <f t="shared" si="2"/>
        <v>0.05256000000000001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spans="1:30" ht="14.25">
      <c r="A19" s="37" t="s">
        <v>141</v>
      </c>
      <c r="B19" s="37">
        <v>1</v>
      </c>
      <c r="C19" s="38" t="s">
        <v>97</v>
      </c>
      <c r="D19" s="38" t="s">
        <v>189</v>
      </c>
      <c r="E19" s="39" t="s">
        <v>190</v>
      </c>
      <c r="F19" s="40" t="s">
        <v>150</v>
      </c>
      <c r="G19" s="37" t="s">
        <v>151</v>
      </c>
      <c r="H19" s="37" t="s">
        <v>161</v>
      </c>
      <c r="I19" s="37" t="s">
        <v>162</v>
      </c>
      <c r="J19" s="40" t="s">
        <v>147</v>
      </c>
      <c r="K19" s="37" t="s">
        <v>154</v>
      </c>
      <c r="L19" s="38">
        <v>2013</v>
      </c>
      <c r="M19" s="47">
        <v>0.063</v>
      </c>
      <c r="N19" s="38" t="s">
        <v>191</v>
      </c>
      <c r="O19" s="37">
        <v>0.003</v>
      </c>
      <c r="P19" s="41">
        <f>M19*8760/2000</f>
        <v>0.27594</v>
      </c>
      <c r="Q19" s="42"/>
      <c r="R19" s="41">
        <f t="shared" si="2"/>
        <v>0.27594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ht="14.25">
      <c r="A20" s="37" t="s">
        <v>141</v>
      </c>
      <c r="B20" s="38">
        <v>1</v>
      </c>
      <c r="C20" s="38" t="s">
        <v>50</v>
      </c>
      <c r="D20" s="38" t="s">
        <v>192</v>
      </c>
      <c r="E20" s="39" t="s">
        <v>193</v>
      </c>
      <c r="F20" s="39" t="s">
        <v>150</v>
      </c>
      <c r="G20" s="38"/>
      <c r="H20" s="38" t="s">
        <v>194</v>
      </c>
      <c r="I20" s="38" t="s">
        <v>195</v>
      </c>
      <c r="J20" s="40"/>
      <c r="K20" s="38" t="s">
        <v>154</v>
      </c>
      <c r="L20" s="38">
        <v>20880</v>
      </c>
      <c r="M20" s="38">
        <v>0.02</v>
      </c>
      <c r="N20" s="38" t="s">
        <v>196</v>
      </c>
      <c r="O20" s="38"/>
      <c r="P20" s="41">
        <f>L20*M20*60*8760/7000/2000</f>
        <v>15.677897142857143</v>
      </c>
      <c r="Q20" s="48"/>
      <c r="R20" s="41">
        <f>P20</f>
        <v>15.677897142857143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:30" ht="14.25">
      <c r="A21" s="38" t="s">
        <v>197</v>
      </c>
      <c r="B21" s="38">
        <v>1</v>
      </c>
      <c r="C21" s="38"/>
      <c r="D21" s="38" t="s">
        <v>198</v>
      </c>
      <c r="E21" s="39" t="s">
        <v>199</v>
      </c>
      <c r="F21" s="40"/>
      <c r="G21" s="37"/>
      <c r="H21" s="37"/>
      <c r="I21" s="37"/>
      <c r="J21" s="40"/>
      <c r="K21" s="38" t="s">
        <v>154</v>
      </c>
      <c r="L21" s="38">
        <v>1020</v>
      </c>
      <c r="M21" s="37"/>
      <c r="N21" s="37"/>
      <c r="O21" s="38">
        <v>6.8E-06</v>
      </c>
      <c r="P21" s="41">
        <f>L21*O21*60*8760/7000/2000</f>
        <v>0.0002603972571428572</v>
      </c>
      <c r="Q21" s="48"/>
      <c r="R21" s="41">
        <f aca="true" t="shared" si="3" ref="R21:R28">P21+(P21*Q21)</f>
        <v>0.0002603972571428572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:30" ht="14.25">
      <c r="A22" s="38" t="s">
        <v>200</v>
      </c>
      <c r="B22" s="37"/>
      <c r="C22" s="38" t="s">
        <v>63</v>
      </c>
      <c r="D22" s="38" t="s">
        <v>201</v>
      </c>
      <c r="E22" s="39" t="s">
        <v>202</v>
      </c>
      <c r="F22" s="40"/>
      <c r="G22" s="37"/>
      <c r="H22" s="37"/>
      <c r="I22" s="37"/>
      <c r="J22" s="40"/>
      <c r="K22" s="38" t="s">
        <v>154</v>
      </c>
      <c r="L22" s="37"/>
      <c r="M22" s="38">
        <v>1.5</v>
      </c>
      <c r="N22" s="38" t="s">
        <v>191</v>
      </c>
      <c r="O22" s="37"/>
      <c r="P22" s="41">
        <f>M22*8760/2000</f>
        <v>6.57</v>
      </c>
      <c r="Q22" s="42"/>
      <c r="R22" s="41">
        <f t="shared" si="3"/>
        <v>6.57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0" ht="14.25">
      <c r="A23" s="37" t="s">
        <v>141</v>
      </c>
      <c r="B23" s="37">
        <v>1</v>
      </c>
      <c r="C23" s="38"/>
      <c r="D23" s="38" t="s">
        <v>203</v>
      </c>
      <c r="E23" s="39" t="s">
        <v>204</v>
      </c>
      <c r="F23" s="40" t="s">
        <v>150</v>
      </c>
      <c r="G23" s="37" t="s">
        <v>151</v>
      </c>
      <c r="H23" s="37" t="s">
        <v>177</v>
      </c>
      <c r="I23" s="37" t="s">
        <v>178</v>
      </c>
      <c r="J23" s="40" t="s">
        <v>147</v>
      </c>
      <c r="K23" s="37" t="s">
        <v>154</v>
      </c>
      <c r="L23" s="37">
        <v>10319</v>
      </c>
      <c r="M23" s="37"/>
      <c r="N23" s="37"/>
      <c r="O23" s="37">
        <v>0.003</v>
      </c>
      <c r="P23" s="41">
        <f aca="true" t="shared" si="4" ref="P23:P24">L23*O23*60*8760/7000/2000</f>
        <v>1.1622142285714288</v>
      </c>
      <c r="Q23" s="42"/>
      <c r="R23" s="41">
        <f t="shared" si="3"/>
        <v>1.1622142285714288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:30" ht="14.25">
      <c r="A24" s="37" t="s">
        <v>141</v>
      </c>
      <c r="B24" s="37">
        <v>1</v>
      </c>
      <c r="C24" s="38"/>
      <c r="D24" s="38" t="s">
        <v>205</v>
      </c>
      <c r="E24" s="39" t="s">
        <v>206</v>
      </c>
      <c r="F24" s="40" t="s">
        <v>150</v>
      </c>
      <c r="G24" s="37" t="s">
        <v>151</v>
      </c>
      <c r="H24" s="37" t="s">
        <v>152</v>
      </c>
      <c r="I24" s="37" t="s">
        <v>153</v>
      </c>
      <c r="J24" s="40" t="s">
        <v>147</v>
      </c>
      <c r="K24" s="37" t="s">
        <v>154</v>
      </c>
      <c r="L24" s="37">
        <v>24540</v>
      </c>
      <c r="M24" s="37"/>
      <c r="N24" s="37"/>
      <c r="O24" s="38">
        <v>0.002</v>
      </c>
      <c r="P24" s="41">
        <f t="shared" si="4"/>
        <v>1.8426034285714283</v>
      </c>
      <c r="Q24" s="42"/>
      <c r="R24" s="41">
        <f t="shared" si="3"/>
        <v>1.8426034285714283</v>
      </c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:30" ht="14.25">
      <c r="A25" s="37" t="s">
        <v>141</v>
      </c>
      <c r="B25" s="37">
        <v>1</v>
      </c>
      <c r="C25" s="38"/>
      <c r="D25" s="38" t="s">
        <v>207</v>
      </c>
      <c r="E25" s="39" t="s">
        <v>208</v>
      </c>
      <c r="F25" s="40" t="s">
        <v>143</v>
      </c>
      <c r="G25" s="37" t="s">
        <v>157</v>
      </c>
      <c r="H25" s="37" t="s">
        <v>180</v>
      </c>
      <c r="I25" s="37" t="s">
        <v>181</v>
      </c>
      <c r="J25" s="40" t="s">
        <v>147</v>
      </c>
      <c r="K25" s="37" t="s">
        <v>148</v>
      </c>
      <c r="L25" s="37">
        <v>790</v>
      </c>
      <c r="M25" s="37"/>
      <c r="N25" s="37"/>
      <c r="O25" s="37">
        <v>0.01</v>
      </c>
      <c r="P25" s="41">
        <f>L25*O25*60*8760/7000/2000*0.5</f>
        <v>0.1482942857142857</v>
      </c>
      <c r="Q25" s="42"/>
      <c r="R25" s="41">
        <f t="shared" si="3"/>
        <v>0.1482942857142857</v>
      </c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ht="14.25">
      <c r="A26" s="37" t="s">
        <v>141</v>
      </c>
      <c r="B26" s="38">
        <v>1</v>
      </c>
      <c r="C26" s="38"/>
      <c r="D26" s="38" t="s">
        <v>209</v>
      </c>
      <c r="E26" s="39" t="s">
        <v>210</v>
      </c>
      <c r="F26" s="39" t="s">
        <v>150</v>
      </c>
      <c r="G26" s="37" t="s">
        <v>151</v>
      </c>
      <c r="H26" s="38" t="s">
        <v>211</v>
      </c>
      <c r="I26" s="38" t="s">
        <v>212</v>
      </c>
      <c r="J26" s="39" t="s">
        <v>147</v>
      </c>
      <c r="K26" s="38" t="s">
        <v>154</v>
      </c>
      <c r="L26" s="38">
        <v>15000</v>
      </c>
      <c r="M26" s="37"/>
      <c r="N26" s="38"/>
      <c r="O26" s="38">
        <v>0.002</v>
      </c>
      <c r="P26" s="41">
        <f>L26*O26*60*8760/7000/2000</f>
        <v>1.1262857142857141</v>
      </c>
      <c r="Q26" s="42"/>
      <c r="R26" s="41">
        <f t="shared" si="3"/>
        <v>1.1262857142857141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30" ht="28.5">
      <c r="A27" s="49" t="s">
        <v>141</v>
      </c>
      <c r="B27" s="50">
        <v>1</v>
      </c>
      <c r="C27" s="50"/>
      <c r="D27" s="50" t="s">
        <v>213</v>
      </c>
      <c r="E27" s="51" t="s">
        <v>214</v>
      </c>
      <c r="F27" s="52" t="s">
        <v>170</v>
      </c>
      <c r="G27" s="49"/>
      <c r="H27" s="49"/>
      <c r="I27" s="49" t="s">
        <v>171</v>
      </c>
      <c r="J27" s="52" t="s">
        <v>147</v>
      </c>
      <c r="K27" s="49" t="s">
        <v>148</v>
      </c>
      <c r="L27" s="49">
        <v>532</v>
      </c>
      <c r="M27" s="49"/>
      <c r="N27" s="49"/>
      <c r="O27" s="49">
        <v>0.02</v>
      </c>
      <c r="P27" s="53">
        <f>L27*O27*60*8760/7000/2000*0.5</f>
        <v>0.19972800000000004</v>
      </c>
      <c r="Q27" s="54"/>
      <c r="R27" s="53">
        <f t="shared" si="3"/>
        <v>0.19972800000000004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</row>
    <row r="28" spans="1:30" ht="14.25">
      <c r="A28" s="37" t="s">
        <v>141</v>
      </c>
      <c r="B28" s="37">
        <v>1</v>
      </c>
      <c r="C28" s="38" t="s">
        <v>93</v>
      </c>
      <c r="D28" s="38" t="s">
        <v>215</v>
      </c>
      <c r="E28" s="39" t="s">
        <v>216</v>
      </c>
      <c r="F28" s="40" t="s">
        <v>156</v>
      </c>
      <c r="G28" s="37" t="s">
        <v>157</v>
      </c>
      <c r="H28" s="37" t="s">
        <v>158</v>
      </c>
      <c r="I28" s="40" t="s">
        <v>159</v>
      </c>
      <c r="J28" s="40" t="s">
        <v>147</v>
      </c>
      <c r="K28" s="37" t="s">
        <v>148</v>
      </c>
      <c r="L28" s="37">
        <v>1141</v>
      </c>
      <c r="M28" s="38">
        <v>0.063</v>
      </c>
      <c r="N28" s="38" t="s">
        <v>191</v>
      </c>
      <c r="O28" s="37">
        <v>0.01</v>
      </c>
      <c r="P28" s="41">
        <f aca="true" t="shared" si="5" ref="P28:P29">M28*8760/2000</f>
        <v>0.27594</v>
      </c>
      <c r="Q28" s="42"/>
      <c r="R28" s="41">
        <f t="shared" si="3"/>
        <v>0.27594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0" ht="14.25">
      <c r="A29" s="38" t="s">
        <v>141</v>
      </c>
      <c r="B29" s="38">
        <v>1</v>
      </c>
      <c r="C29" s="38" t="s">
        <v>89</v>
      </c>
      <c r="D29" s="38" t="s">
        <v>217</v>
      </c>
      <c r="E29" s="39" t="s">
        <v>218</v>
      </c>
      <c r="F29" s="39" t="s">
        <v>150</v>
      </c>
      <c r="G29" s="37"/>
      <c r="H29" s="37"/>
      <c r="I29" s="37"/>
      <c r="J29" s="40"/>
      <c r="K29" s="38" t="s">
        <v>148</v>
      </c>
      <c r="L29" s="38">
        <v>5600</v>
      </c>
      <c r="M29" s="65">
        <v>0.46</v>
      </c>
      <c r="N29" s="65" t="s">
        <v>191</v>
      </c>
      <c r="O29" s="38">
        <v>0.003</v>
      </c>
      <c r="P29" s="68">
        <f t="shared" si="5"/>
        <v>2.0148</v>
      </c>
      <c r="Q29" s="48"/>
      <c r="R29" s="68">
        <f>P29</f>
        <v>2.0148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ht="14.25">
      <c r="A30" s="37" t="s">
        <v>141</v>
      </c>
      <c r="B30" s="37">
        <v>1</v>
      </c>
      <c r="C30" s="38" t="s">
        <v>89</v>
      </c>
      <c r="D30" s="38" t="s">
        <v>219</v>
      </c>
      <c r="E30" s="39" t="s">
        <v>220</v>
      </c>
      <c r="F30" s="39" t="s">
        <v>150</v>
      </c>
      <c r="G30" s="37"/>
      <c r="H30" s="37"/>
      <c r="I30" s="40"/>
      <c r="J30" s="40"/>
      <c r="K30" s="38" t="s">
        <v>148</v>
      </c>
      <c r="L30" s="38">
        <v>6200</v>
      </c>
      <c r="M30" s="66"/>
      <c r="N30" s="66"/>
      <c r="O30" s="38">
        <v>0.003</v>
      </c>
      <c r="P30" s="66"/>
      <c r="Q30" s="48"/>
      <c r="R30" s="66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:30" ht="14.25">
      <c r="A31" s="37" t="s">
        <v>141</v>
      </c>
      <c r="B31" s="37">
        <v>1</v>
      </c>
      <c r="C31" s="38" t="s">
        <v>89</v>
      </c>
      <c r="D31" s="38" t="s">
        <v>221</v>
      </c>
      <c r="E31" s="39" t="s">
        <v>222</v>
      </c>
      <c r="F31" s="39" t="s">
        <v>150</v>
      </c>
      <c r="G31" s="37"/>
      <c r="H31" s="37"/>
      <c r="I31" s="40"/>
      <c r="J31" s="40"/>
      <c r="K31" s="38" t="s">
        <v>148</v>
      </c>
      <c r="L31" s="38">
        <v>6000</v>
      </c>
      <c r="M31" s="66"/>
      <c r="N31" s="66"/>
      <c r="O31" s="38">
        <v>0.003</v>
      </c>
      <c r="P31" s="66"/>
      <c r="Q31" s="48"/>
      <c r="R31" s="66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:30" ht="14.25">
      <c r="A32" s="37" t="s">
        <v>141</v>
      </c>
      <c r="B32" s="37">
        <v>1</v>
      </c>
      <c r="C32" s="38" t="s">
        <v>89</v>
      </c>
      <c r="D32" s="38" t="s">
        <v>223</v>
      </c>
      <c r="E32" s="39" t="s">
        <v>224</v>
      </c>
      <c r="F32" s="39" t="s">
        <v>186</v>
      </c>
      <c r="G32" s="37"/>
      <c r="H32" s="37"/>
      <c r="I32" s="40"/>
      <c r="J32" s="40"/>
      <c r="K32" s="38" t="s">
        <v>148</v>
      </c>
      <c r="L32" s="38">
        <v>16000</v>
      </c>
      <c r="M32" s="67"/>
      <c r="N32" s="67"/>
      <c r="O32" s="38">
        <v>0.002</v>
      </c>
      <c r="P32" s="67"/>
      <c r="Q32" s="48"/>
      <c r="R32" s="67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:30" ht="14.25">
      <c r="A33" s="37" t="s">
        <v>141</v>
      </c>
      <c r="B33" s="37">
        <v>1</v>
      </c>
      <c r="C33" s="38"/>
      <c r="D33" s="38" t="s">
        <v>225</v>
      </c>
      <c r="E33" s="39" t="s">
        <v>226</v>
      </c>
      <c r="F33" s="40"/>
      <c r="G33" s="37"/>
      <c r="H33" s="37"/>
      <c r="I33" s="40"/>
      <c r="J33" s="40"/>
      <c r="K33" s="38" t="s">
        <v>154</v>
      </c>
      <c r="L33" s="38">
        <v>50000</v>
      </c>
      <c r="M33" s="37"/>
      <c r="N33" s="37"/>
      <c r="O33" s="38">
        <v>0.002</v>
      </c>
      <c r="P33" s="41">
        <f>L33*O33*60*8760/7000/2000</f>
        <v>3.754285714285714</v>
      </c>
      <c r="Q33" s="48"/>
      <c r="R33" s="41">
        <f aca="true" t="shared" si="6" ref="R33:R34">P33+(P33*Q33)</f>
        <v>3.754285714285714</v>
      </c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30" ht="14.25">
      <c r="A34" s="37" t="s">
        <v>141</v>
      </c>
      <c r="B34" s="37">
        <v>1</v>
      </c>
      <c r="C34" s="38" t="s">
        <v>83</v>
      </c>
      <c r="D34" s="38" t="s">
        <v>227</v>
      </c>
      <c r="E34" s="39" t="s">
        <v>228</v>
      </c>
      <c r="F34" s="39" t="s">
        <v>150</v>
      </c>
      <c r="G34" s="37"/>
      <c r="H34" s="38" t="s">
        <v>229</v>
      </c>
      <c r="I34" s="39" t="s">
        <v>230</v>
      </c>
      <c r="J34" s="40"/>
      <c r="K34" s="38" t="s">
        <v>148</v>
      </c>
      <c r="L34" s="38">
        <v>19800</v>
      </c>
      <c r="M34" s="38">
        <v>0.5</v>
      </c>
      <c r="N34" s="38" t="s">
        <v>191</v>
      </c>
      <c r="O34" s="38">
        <v>0.005</v>
      </c>
      <c r="P34" s="56">
        <f>M34*8760/2000</f>
        <v>2.19</v>
      </c>
      <c r="Q34" s="48"/>
      <c r="R34" s="56">
        <f t="shared" si="6"/>
        <v>2.19</v>
      </c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:30" ht="14.25">
      <c r="A35" s="37"/>
      <c r="B35" s="37"/>
      <c r="C35" s="38"/>
      <c r="D35" s="38" t="s">
        <v>231</v>
      </c>
      <c r="E35" s="39" t="s">
        <v>232</v>
      </c>
      <c r="F35" s="40"/>
      <c r="G35" s="37"/>
      <c r="H35" s="37"/>
      <c r="I35" s="40"/>
      <c r="J35" s="40"/>
      <c r="K35" s="37"/>
      <c r="L35" s="37"/>
      <c r="M35" s="37"/>
      <c r="N35" s="37"/>
      <c r="O35" s="37"/>
      <c r="P35" s="41"/>
      <c r="Q35" s="42"/>
      <c r="R35" s="4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30" ht="14.25">
      <c r="A36" s="37" t="s">
        <v>141</v>
      </c>
      <c r="B36" s="37">
        <v>1</v>
      </c>
      <c r="C36" s="38"/>
      <c r="D36" s="38" t="s">
        <v>233</v>
      </c>
      <c r="E36" s="39" t="s">
        <v>234</v>
      </c>
      <c r="F36" s="40"/>
      <c r="G36" s="37"/>
      <c r="H36" s="37"/>
      <c r="I36" s="40"/>
      <c r="J36" s="40"/>
      <c r="K36" s="38" t="s">
        <v>148</v>
      </c>
      <c r="L36" s="38">
        <v>10000</v>
      </c>
      <c r="M36" s="37"/>
      <c r="N36" s="37"/>
      <c r="O36" s="38">
        <v>0.002</v>
      </c>
      <c r="P36" s="41">
        <f aca="true" t="shared" si="7" ref="P36:P37">L36*O36*60*8760/7000/2000*0.5</f>
        <v>0.37542857142857144</v>
      </c>
      <c r="Q36" s="48"/>
      <c r="R36" s="41">
        <f aca="true" t="shared" si="8" ref="R36:R37">P36+(P36*Q36)</f>
        <v>0.37542857142857144</v>
      </c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:30" ht="14.25">
      <c r="A37" s="37" t="s">
        <v>141</v>
      </c>
      <c r="B37" s="37">
        <v>1</v>
      </c>
      <c r="C37" s="37"/>
      <c r="D37" s="37"/>
      <c r="E37" s="39" t="s">
        <v>235</v>
      </c>
      <c r="F37" s="40" t="s">
        <v>164</v>
      </c>
      <c r="G37" s="37"/>
      <c r="H37" s="37" t="s">
        <v>165</v>
      </c>
      <c r="I37" s="37" t="s">
        <v>166</v>
      </c>
      <c r="J37" s="40" t="s">
        <v>147</v>
      </c>
      <c r="K37" s="37" t="s">
        <v>148</v>
      </c>
      <c r="L37" s="37">
        <v>1780</v>
      </c>
      <c r="M37" s="40"/>
      <c r="N37" s="40"/>
      <c r="O37" s="40">
        <v>0.01</v>
      </c>
      <c r="P37" s="57">
        <f t="shared" si="7"/>
        <v>0.3341314285714286</v>
      </c>
      <c r="Q37" s="58"/>
      <c r="R37" s="57">
        <f t="shared" si="8"/>
        <v>0.3341314285714286</v>
      </c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6:19" ht="15">
      <c r="P38" s="59">
        <f>SUM(P17:P37)</f>
        <v>37.04128216868572</v>
      </c>
      <c r="Q38" s="60"/>
      <c r="R38" s="59">
        <f>R37+R36+R35+R33+R27+R26+R25+R24+R23+R21+R18+R17</f>
        <v>10.036705025828573</v>
      </c>
      <c r="S38" s="61"/>
    </row>
  </sheetData>
  <mergeCells count="4">
    <mergeCell ref="M29:M32"/>
    <mergeCell ref="N29:N32"/>
    <mergeCell ref="P29:P32"/>
    <mergeCell ref="R29:R32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Briggs</dc:creator>
  <cp:keywords/>
  <dc:description/>
  <cp:lastModifiedBy>Younes Aleali</cp:lastModifiedBy>
  <dcterms:created xsi:type="dcterms:W3CDTF">2013-12-18T15:16:48Z</dcterms:created>
  <dcterms:modified xsi:type="dcterms:W3CDTF">2021-10-31T15:48:47Z</dcterms:modified>
  <cp:category/>
  <cp:version/>
  <cp:contentType/>
  <cp:contentStatus/>
</cp:coreProperties>
</file>